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982" activeTab="0"/>
  </bookViews>
  <sheets>
    <sheet name="electricity per guestroom" sheetId="1" r:id="rId1"/>
    <sheet name="guestroom hvac options" sheetId="2" r:id="rId2"/>
    <sheet name="electricity per conference room" sheetId="3" r:id="rId3"/>
    <sheet name="water per guest" sheetId="4" r:id="rId4"/>
    <sheet name="exempt &amp; taxable elect &amp; water" sheetId="5" r:id="rId5"/>
  </sheets>
  <definedNames/>
  <calcPr fullCalcOnLoad="1"/>
</workbook>
</file>

<file path=xl/sharedStrings.xml><?xml version="1.0" encoding="utf-8"?>
<sst xmlns="http://schemas.openxmlformats.org/spreadsheetml/2006/main" count="351" uniqueCount="168">
  <si>
    <t>clock-radio</t>
  </si>
  <si>
    <t>bathroom vent</t>
  </si>
  <si>
    <t>bathroom light</t>
  </si>
  <si>
    <t>hair dryer</t>
  </si>
  <si>
    <t xml:space="preserve">coffee maker </t>
  </si>
  <si>
    <t>microwave</t>
  </si>
  <si>
    <t>iron</t>
  </si>
  <si>
    <t>Wattage</t>
  </si>
  <si>
    <t>Hrs of Use per Rental Day</t>
  </si>
  <si>
    <t>kWh per Rental Day</t>
  </si>
  <si>
    <t>color television</t>
  </si>
  <si>
    <t>bathroom heat lamp</t>
  </si>
  <si>
    <t>bedside lamp</t>
  </si>
  <si>
    <t>floor lamp</t>
  </si>
  <si>
    <t>desk lamp</t>
  </si>
  <si>
    <t xml:space="preserve">Bathroom sink </t>
  </si>
  <si>
    <t>Shower</t>
  </si>
  <si>
    <t>Toilet</t>
  </si>
  <si>
    <t>Usage per Guest</t>
  </si>
  <si>
    <t xml:space="preserve">  with heater size 2kw (including blower fan)</t>
  </si>
  <si>
    <t>vertical fan coil unit blower fan (300cfm) -- room size 250-350sqft</t>
  </si>
  <si>
    <t>vertical fan coil unit blower fan (400cfm) -- room size 350-450sqft</t>
  </si>
  <si>
    <t>vertical fan coil unit blower fan (600cfm) -- room size 450-550sqft</t>
  </si>
  <si>
    <t>low vertical fan coil unit blower fan (200cfm) -- room size less than 250sqft</t>
  </si>
  <si>
    <t>low vertical fan coil unit blower fan (300cfm) -- room size 250-350sqft</t>
  </si>
  <si>
    <t>low vertical fan coil unit blower fan (400cfm) -- room size 350-450sqft</t>
  </si>
  <si>
    <t>low vertical fan coil unit blower fan (600cfm) -- room size 450-550sqft</t>
  </si>
  <si>
    <t>horizontal (ceiling) fan coil unit blower fan (200cfm) -- room size less than 250sqft</t>
  </si>
  <si>
    <t xml:space="preserve">  with no heater (just blower fan)</t>
  </si>
  <si>
    <t>horizontal (ceiling) fan coil unit blower fan (300cfm) -- room size 250-350sqft</t>
  </si>
  <si>
    <t>horizontal (ceiling) fan coil unit blower fan (400cfm) -- room size 350-450sqft</t>
  </si>
  <si>
    <t>horizontal (ceiling) fan coil unit blower fan (600cfm) -- room size 450-550sqft</t>
  </si>
  <si>
    <t>horizontal (ceiling) fan coil unit blower fan HIGH STATIC (400cfm) -- room size 350-450sqft</t>
  </si>
  <si>
    <t>horizontal (ceiling) fan coil unit blower fan HIGH STATIC (600cfm) -- room size 450-550sqft</t>
  </si>
  <si>
    <t>Period</t>
  </si>
  <si>
    <t>Total</t>
  </si>
  <si>
    <t>Conference Rooms</t>
  </si>
  <si>
    <t>Lighting</t>
  </si>
  <si>
    <t>hvac</t>
  </si>
  <si>
    <t>watts per sq ft</t>
  </si>
  <si>
    <t>watts per sq ft (per building code)</t>
  </si>
  <si>
    <t>Guest Rooms Rented</t>
  </si>
  <si>
    <t>Room Appliance &amp; Lighting</t>
  </si>
  <si>
    <t>watts per sq ft (30btus of cooling per sq ft/10seer=3watts)</t>
  </si>
  <si>
    <t>wattage per conference room</t>
  </si>
  <si>
    <t>horizontal (ceiling) fan coil unit blower fan (800cfm) -- room size 550+ sqft</t>
  </si>
  <si>
    <t>vertical fan coil unit blower fan (800cfm) -- room size 550+ sqft</t>
  </si>
  <si>
    <t>horizontal (ceiling) fan coil unit blower fan HIGH STATIC (800cfm) -- room size 550+ sqft</t>
  </si>
  <si>
    <t>ptac -- btuh 7000 heat/cool unit -- annual estimated kwh for cooling</t>
  </si>
  <si>
    <t>ptac -- btuh 7000 heat/cool unit -- annual estimated kwh for heating</t>
  </si>
  <si>
    <t>ptac -- btuh 9000 heat/cool unit -- annual estimated kwh for cooling</t>
  </si>
  <si>
    <t>ptac -- btuh 9000 heat/cool unit -- annual estimated kwh for heating</t>
  </si>
  <si>
    <t>ptac -- btuh 12000 heat/cool unit -- annual estimated kwh for cooling</t>
  </si>
  <si>
    <t>ptac -- btuh 12000 heat/cool unit -- annual estimated kwh for heating</t>
  </si>
  <si>
    <t>ptac -- btuh 15000 heat/cool unit -- annual estimated kwh for cooling</t>
  </si>
  <si>
    <t>ptac -- btuh 15000 heat/cool unit -- annual estimated kwh for heating</t>
  </si>
  <si>
    <t>ptac -- btuh 7000 heat pump/cool unit -- annual estimated kwh for cooling</t>
  </si>
  <si>
    <t>ptac -- btuh 7000 heat pump/cool unit -- annual estimated kwh for heating</t>
  </si>
  <si>
    <t>ptac -- btuh 9000 heat pump/cool unit -- annual estimated kwh for cooling</t>
  </si>
  <si>
    <t>ptac -- btuh 9000 heat pump/cool unit -- annual estimated kwh for heating</t>
  </si>
  <si>
    <t>ptac -- btuh 12000 heat pump/cool unit -- annual estimated kwh for cooling</t>
  </si>
  <si>
    <t>ptac -- btuh 12000 heat pump/cool unit -- annual estimated kwh for heating</t>
  </si>
  <si>
    <t>ptac -- btuh 15000 heat pump/cool unit -- annual estimated kwh for cooling</t>
  </si>
  <si>
    <t>ptac -- btuh 15000 heat pump/cool unit -- annual estimated kwh for heating</t>
  </si>
  <si>
    <t>vertical fancoil unit (blower fan 200cfm) -- room size less than 250sqft</t>
  </si>
  <si>
    <t>Instructions</t>
  </si>
  <si>
    <t>Room Heating &amp; Cooling Appliance</t>
  </si>
  <si>
    <t>room entry light</t>
  </si>
  <si>
    <t>3.  If the bathroom has a heat lamp, enter a wattage rating of 250 in cell B11.</t>
  </si>
  <si>
    <t>ie 10min</t>
  </si>
  <si>
    <t>Minutes of Use (A)</t>
  </si>
  <si>
    <t>Flow rate of fixture (B)</t>
  </si>
  <si>
    <t>Minutes of Use (C)</t>
  </si>
  <si>
    <t>(B)  typically ranges from 2 - 5 gallons per minute (gpm)</t>
  </si>
  <si>
    <t>Flow rate of fixture (D)</t>
  </si>
  <si>
    <t>Gallons per Flush (E)</t>
  </si>
  <si>
    <t>(E)  typically ranges from 1.6 - 5 gallons per flush (gpf))</t>
  </si>
  <si>
    <t>(D)  typically ranges from 1.5 - 6 gallons per minute (gpm)</t>
  </si>
  <si>
    <t>gallons divided by 748 = resold ccfs per guest per day</t>
  </si>
  <si>
    <t>Total Resold Gallons of Water per Guest per day</t>
  </si>
  <si>
    <t>kWh consumed per year</t>
  </si>
  <si>
    <t>If your guestroom has a ptac with a/c and electric heater (NO heat pump) -- choose the "box" directly below with</t>
  </si>
  <si>
    <t xml:space="preserve">OPTION #2: </t>
  </si>
  <si>
    <t xml:space="preserve">OPTION #1: </t>
  </si>
  <si>
    <t>If your guestroom has a ptac with a/c and electric heater w/ heat pump -- choose the "box" directly below with</t>
  </si>
  <si>
    <t xml:space="preserve">OPTION #3: </t>
  </si>
  <si>
    <t xml:space="preserve">OPTION #4: </t>
  </si>
  <si>
    <t>If your guestroom has a fan coil unit with an electric heater, first find correct "style" (vertical, low vertical, horizontal, or horizontal w/high static motor) --</t>
  </si>
  <si>
    <t xml:space="preserve">  each style has a different color.  THEN find the correct blower fan size (by cfm) of the unit.  Then copy the WHOLE box (both lines in the box and </t>
  </si>
  <si>
    <t>the size of unit that is in your typical guest room and copy the WHOLE box (both lines in the box and from B thru F) and paste it on worksheet "resold</t>
  </si>
  <si>
    <t>units, some may have 9,000 btuh units.</t>
  </si>
  <si>
    <t>electricity calculation" in cell A17.  hint:  it is very unlikely that MO has any hotels with 12,000 or 15,000 btuh units; most rooms should have 7,000 btuh</t>
  </si>
  <si>
    <t>If your guestroom has a fan coil unit with fans only (centralized heat and cooling), first find correct "style" (vertical, low vertical, horizontal, or horizontal</t>
  </si>
  <si>
    <t>w/ high static motor) -- each style has a different color.  THEN find the correct blower fan size (by cfm) of the unit.  Then copy the WHOLE box (both</t>
  </si>
  <si>
    <t>lines in the box and from B thru F) and paste it on worksheet "resold electricity calculation" in cell A17.</t>
  </si>
  <si>
    <t>units; some may have 9,000 btuh units.</t>
  </si>
  <si>
    <t xml:space="preserve">  from B thru F) and paste it on worksheet "resold electricity calculation" in cell A17.</t>
  </si>
  <si>
    <t>1.  If your conference rooms do not have their own hvac appliances, delete the 3 watts in cell B4.</t>
  </si>
  <si>
    <t>2.  Determine your average conference room sq footage.  For example, if you have 3 conference</t>
  </si>
  <si>
    <t xml:space="preserve">     rooms, one is 1,000 sq ft and one is 750 sq ft and one is 600 sq ft, your average conference</t>
  </si>
  <si>
    <t xml:space="preserve">     Completing this cell will give you the average resold kWh per rented conference room</t>
  </si>
  <si>
    <t xml:space="preserve">     room's sq footage is 783.  Enter your average conference room sq footage in cell B8. </t>
  </si>
  <si>
    <t>Conference Rooms Rented</t>
  </si>
  <si>
    <t>room rented an average of 4 hours per day)</t>
  </si>
  <si>
    <t>kwh per rented conference room (presumes avg conference</t>
  </si>
  <si>
    <t>average sq ft per conference room</t>
  </si>
  <si>
    <t>(A)  4 times @ 15 seconds -- from EPA hotel water usage study</t>
  </si>
  <si>
    <t># of Uses (C)</t>
  </si>
  <si>
    <t xml:space="preserve">8.  Your total kWh per room rented is in cell E20.  </t>
  </si>
  <si>
    <t xml:space="preserve">       or 9 minutes total &amp; flushes 3 times -- from EPA hotel</t>
  </si>
  <si>
    <t xml:space="preserve">       water usage study</t>
  </si>
  <si>
    <t>(C)  each person takes 1.2 showers per day for 8 minutes each</t>
  </si>
  <si>
    <t>SEASONAL HOTEL (CLOSED JANUARY AND FEBRUARY)</t>
  </si>
  <si>
    <t>Taxable Electricity $s</t>
  </si>
  <si>
    <t>Total Water $s</t>
  </si>
  <si>
    <t>Taxable Water $s</t>
  </si>
  <si>
    <t># of Guests</t>
  </si>
  <si>
    <t>8.  Column T automatically totals the taxable water and electricity that you need to add as a "plus adjustment" on your sales tax returns</t>
  </si>
  <si>
    <t>5.  Fill in the # of paying Guests in Column L.  If you don't have the # of Guests, then change the formula in Column M to use the Guest Rooms Rented by replacing "L" with "B"</t>
  </si>
  <si>
    <t>3.  GO TO worksheet tab "water per guestroom"</t>
  </si>
  <si>
    <t>1.  If your hotel was built after 1994, your guestroom should have low flow fixtures.  These low</t>
  </si>
  <si>
    <t xml:space="preserve">    flow rates have already been posted above in cells D3, D6, and D9.  If your hotel was built </t>
  </si>
  <si>
    <t xml:space="preserve">    before 1994, enter your fixture flow rates in cells D3, D6, and D9.</t>
  </si>
  <si>
    <t>2. If your typical guestroom has a whirlpool or jacuzzi, please contact Jane Gardner @ the MO</t>
  </si>
  <si>
    <t xml:space="preserve">    Dept of Revenue at 417-895-6477 to add this appliance.</t>
  </si>
  <si>
    <r>
      <t xml:space="preserve">3. Cell F13 shows your total resold gallons </t>
    </r>
    <r>
      <rPr>
        <b/>
        <sz val="10"/>
        <rFont val="Arial"/>
        <family val="2"/>
      </rPr>
      <t>per guest</t>
    </r>
    <r>
      <rPr>
        <sz val="10"/>
        <rFont val="Arial"/>
        <family val="0"/>
      </rPr>
      <t xml:space="preserve"> per day; Cell F15 converts the resold</t>
    </r>
  </si>
  <si>
    <t xml:space="preserve">    gallons per guest per day to CCFs per guest per day.</t>
  </si>
  <si>
    <r>
      <t xml:space="preserve">4.  </t>
    </r>
    <r>
      <rPr>
        <b/>
        <sz val="10"/>
        <rFont val="Arial"/>
        <family val="2"/>
      </rPr>
      <t>GO TO</t>
    </r>
    <r>
      <rPr>
        <sz val="10"/>
        <rFont val="Arial"/>
        <family val="0"/>
      </rPr>
      <t xml:space="preserve"> worksheet tab "resold &amp; taxable elect &amp; water"</t>
    </r>
  </si>
  <si>
    <t>1.  Fill in the lamp wattage for each of the lamps listed above on lines 4 thru 9 if the lamp is applicable to your</t>
  </si>
  <si>
    <t xml:space="preserve">    typical guestroom in cells B4 -B9.  If you are using compact fluorescent lighting--a 32watt CFL is the </t>
  </si>
  <si>
    <t xml:space="preserve">    equivalent of a 100watt incandescent.</t>
  </si>
  <si>
    <t>2.  If the bathroom has a vent that is turned on/off by the guest, enter a wattage rating of 88 in cell B10</t>
  </si>
  <si>
    <t>4.  If your typical guestroom does not have a coffee maker, microwave, or iron, delete the wattage ratings in the</t>
  </si>
  <si>
    <t xml:space="preserve">    applicable cell -- B12 thru B15.</t>
  </si>
  <si>
    <t>5.  Is there any appliances in your typical guestroom that are not named above? If so, contact Jane Gardner,</t>
  </si>
  <si>
    <t xml:space="preserve">    Mo Dept of Revenue at 417-895-6477 or at Jane.Gardner@dor.mo.gov to help add that appliance to your</t>
  </si>
  <si>
    <t xml:space="preserve">    calculation.</t>
  </si>
  <si>
    <t>6.  Determine the type of heating and cooling appliance that is in your typical guestroom.  Do you use a 1) ptac</t>
  </si>
  <si>
    <t xml:space="preserve">     that has a/c and full electric heat, 2) a ptac that has a/c and heatpump, 3) a fan coil unit that has a full electric</t>
  </si>
  <si>
    <t xml:space="preserve">    heat (e.g. centralized a/c, room heat); or 4) a fan coil unit with no heater (e.g. centralized a/c and heat)? If you</t>
  </si>
  <si>
    <t xml:space="preserve">    are using an hvac appliance that is not listed in 1) thru 4), contact Jane Gardner for assistance.</t>
  </si>
  <si>
    <t>7.  Now go to the worksheet that is included in the file entitled "room hvac options".  You will find all the above</t>
  </si>
  <si>
    <t xml:space="preserve">    options on this worksheet, as well as the various "sizes" in which these hvac appliances are available.  Follow</t>
  </si>
  <si>
    <t xml:space="preserve">    the instructions on the "room hvac options" worksheet to COPY the correct hvac appliance and enter in </t>
  </si>
  <si>
    <t xml:space="preserve">   cells A17 &amp; A18 above.</t>
  </si>
  <si>
    <r>
      <t xml:space="preserve">9. </t>
    </r>
    <r>
      <rPr>
        <b/>
        <sz val="10"/>
        <rFont val="Arial"/>
        <family val="2"/>
      </rPr>
      <t>GO TO</t>
    </r>
    <r>
      <rPr>
        <sz val="10"/>
        <rFont val="Arial"/>
        <family val="0"/>
      </rPr>
      <t xml:space="preserve"> worksheet tab "electricity per conference room"; if your hotel does not have conference rooms, GO TO</t>
    </r>
  </si>
  <si>
    <t xml:space="preserve">    worksheet tab "water per guestroom"</t>
  </si>
  <si>
    <t>Guest Room Resold kWh</t>
  </si>
  <si>
    <t>Conference Room Resold kWh</t>
  </si>
  <si>
    <t>kWh Purchased</t>
  </si>
  <si>
    <t>Total Electricity $s</t>
  </si>
  <si>
    <t>Cost per kWh</t>
  </si>
  <si>
    <t>Resold Electricity $s</t>
  </si>
  <si>
    <t>Resold gallons/ccfs</t>
  </si>
  <si>
    <t>gallons/ccfs Purchased</t>
  </si>
  <si>
    <t>Cost per gallon/ccf</t>
  </si>
  <si>
    <t>Resold Water $s</t>
  </si>
  <si>
    <t>Taxable Electricity &amp; Water $s</t>
  </si>
  <si>
    <t>1.  Fill in # of guest rooms rented (do not include comp rooms) each month in Column B.  Column C will automatically compute the resold kWh using the kWh per guest room from "electricity per guestroom" tab</t>
  </si>
  <si>
    <t>2.  Fill in # of conference rooms rented each month in Column D.  Column E will automatically compute the resold kWh using the kWh per conference room from "electricity per conference room" tab</t>
  </si>
  <si>
    <t>4.  Columns I &amp; J will automatically compute the cost of resold electricity (resold kWh times cost per kWh), and taxable electricity (total electricity $s minus resold electricity $s)</t>
  </si>
  <si>
    <t>6.  IF the water bill is in GALLONS, you will need to change the formula in Column M from $F$15 to $F$13 (and copy it on all periods)</t>
  </si>
  <si>
    <t>7.  Columns P, Q &amp; R will automatically compute the cost per ccf (or gallon), compute the cost of resold water (resold ccfs/gallons times cost per ccf/gallon), and taxable water $s (total water $s minus resold water $s)</t>
  </si>
  <si>
    <t>Room HVAC Options (if your hotel is closed for part of the winter or heavily summer, use the options beginning at Line 200)</t>
  </si>
  <si>
    <t>resold kWh per guest room rented</t>
  </si>
  <si>
    <t>Water Sold per Guest in Guest Rooms</t>
  </si>
  <si>
    <t>3.  Fill in the kWh purchased and total electricity $s from the electric bill in Column F &amp; G.  Column H will automatically compute the cost per kWh.  If this is NOT between $.03 and $.10, you should recheck the kWh and total electricity $s you entered (the summer $ per kWh should be the highest). Total electricity $s includes all charges before any city or franchise fees or late pay fees.</t>
  </si>
  <si>
    <t>5.  Fill in the ccfs (or gallons) purchased and water $s from the water bill in Columns N &amp; O (do not include any city or franchise fees or sewer charges)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</si>
</sst>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_(* #,##0.000000000_);_(* \(#,##0.000000000\);_(* &quot;-&quot;??_);_(@_)"/>
    <numFmt numFmtId="174" formatCode="_(* #,##0.0000000000_);_(* \(#,##0.0000000000\);_(* &quot;-&quot;??_);_(@_)"/>
    <numFmt numFmtId="175" formatCode="0.0%"/>
    <numFmt numFmtId="176" formatCode="0.000%"/>
    <numFmt numFmtId="177" formatCode="_(&quot;$&quot;* #,##0.000_);_(&quot;$&quot;* \(#,##0.00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3" borderId="2" xfId="15" applyNumberFormat="1" applyFill="1" applyBorder="1" applyAlignment="1">
      <alignment/>
    </xf>
    <xf numFmtId="165" fontId="0" fillId="0" borderId="3" xfId="15" applyNumberFormat="1" applyBorder="1" applyAlignment="1">
      <alignment/>
    </xf>
    <xf numFmtId="0" fontId="0" fillId="0" borderId="1" xfId="0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5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0" xfId="15" applyFill="1" applyBorder="1" applyAlignment="1">
      <alignment/>
    </xf>
    <xf numFmtId="165" fontId="0" fillId="0" borderId="0" xfId="15" applyNumberForma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2" xfId="0" applyBorder="1" applyAlignment="1">
      <alignment wrapText="1"/>
    </xf>
    <xf numFmtId="0" fontId="0" fillId="0" borderId="0" xfId="0" applyFill="1" applyAlignment="1">
      <alignment horizontal="left"/>
    </xf>
    <xf numFmtId="0" fontId="1" fillId="6" borderId="11" xfId="0" applyFont="1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1" fillId="6" borderId="2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6" borderId="1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1" fillId="4" borderId="6" xfId="0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4" fillId="6" borderId="2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165" fontId="0" fillId="3" borderId="14" xfId="15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7" borderId="4" xfId="0" applyFill="1" applyBorder="1" applyAlignment="1">
      <alignment/>
    </xf>
    <xf numFmtId="0" fontId="0" fillId="8" borderId="4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6" borderId="0" xfId="0" applyFont="1" applyFill="1" applyAlignment="1">
      <alignment/>
    </xf>
    <xf numFmtId="170" fontId="0" fillId="0" borderId="3" xfId="15" applyNumberFormat="1" applyFill="1" applyBorder="1" applyAlignment="1">
      <alignment horizontal="center"/>
    </xf>
    <xf numFmtId="0" fontId="0" fillId="6" borderId="0" xfId="0" applyFill="1" applyAlignment="1">
      <alignment/>
    </xf>
    <xf numFmtId="43" fontId="0" fillId="6" borderId="0" xfId="15" applyFill="1" applyAlignment="1">
      <alignment/>
    </xf>
    <xf numFmtId="43" fontId="0" fillId="0" borderId="3" xfId="15" applyBorder="1" applyAlignment="1">
      <alignment/>
    </xf>
    <xf numFmtId="177" fontId="0" fillId="0" borderId="0" xfId="17" applyNumberFormat="1" applyAlignment="1">
      <alignment/>
    </xf>
    <xf numFmtId="165" fontId="0" fillId="3" borderId="2" xfId="15" applyNumberFormat="1" applyFill="1" applyBorder="1" applyAlignment="1">
      <alignment/>
    </xf>
    <xf numFmtId="43" fontId="0" fillId="3" borderId="2" xfId="15" applyFill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 wrapText="1"/>
    </xf>
    <xf numFmtId="165" fontId="0" fillId="0" borderId="2" xfId="15" applyNumberFormat="1" applyFont="1" applyBorder="1" applyAlignment="1">
      <alignment horizontal="center" wrapText="1"/>
    </xf>
    <xf numFmtId="43" fontId="0" fillId="0" borderId="2" xfId="15" applyFont="1" applyBorder="1" applyAlignment="1">
      <alignment horizontal="center" wrapText="1"/>
    </xf>
    <xf numFmtId="177" fontId="0" fillId="0" borderId="2" xfId="17" applyNumberFormat="1" applyFont="1" applyBorder="1" applyAlignment="1">
      <alignment horizontal="center" wrapText="1"/>
    </xf>
    <xf numFmtId="43" fontId="0" fillId="0" borderId="2" xfId="15" applyBorder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15" applyAlignment="1">
      <alignment horizontal="center"/>
    </xf>
    <xf numFmtId="0" fontId="0" fillId="6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pane ySplit="22" topLeftCell="BM23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60.8515625" style="0" customWidth="1"/>
    <col min="2" max="2" width="9.140625" style="1" customWidth="1"/>
    <col min="3" max="3" width="10.00390625" style="1" customWidth="1"/>
    <col min="4" max="4" width="8.00390625" style="1" customWidth="1"/>
    <col min="6" max="6" width="5.7109375" style="0" customWidth="1"/>
  </cols>
  <sheetData>
    <row r="1" spans="1:6" ht="38.25">
      <c r="A1" s="47" t="s">
        <v>42</v>
      </c>
      <c r="B1" s="3" t="s">
        <v>7</v>
      </c>
      <c r="C1" s="48" t="s">
        <v>8</v>
      </c>
      <c r="D1" s="3"/>
      <c r="E1" s="4" t="s">
        <v>9</v>
      </c>
      <c r="F1" s="11"/>
    </row>
    <row r="2" spans="1:5" ht="12.75">
      <c r="A2" t="s">
        <v>10</v>
      </c>
      <c r="B2" s="5">
        <v>200</v>
      </c>
      <c r="C2" s="1">
        <v>4</v>
      </c>
      <c r="E2" s="35">
        <f aca="true" t="shared" si="0" ref="E2:E8">ROUND(B2*C2/1000,2)</f>
        <v>0.8</v>
      </c>
    </row>
    <row r="3" spans="1:5" ht="12.75">
      <c r="A3" t="s">
        <v>0</v>
      </c>
      <c r="B3" s="5">
        <v>5</v>
      </c>
      <c r="C3" s="1">
        <v>24</v>
      </c>
      <c r="E3" s="35">
        <f t="shared" si="0"/>
        <v>0.12</v>
      </c>
    </row>
    <row r="4" spans="1:5" ht="12.75">
      <c r="A4" t="s">
        <v>12</v>
      </c>
      <c r="B4" s="5"/>
      <c r="C4" s="1">
        <v>4.5</v>
      </c>
      <c r="E4" s="35">
        <f t="shared" si="0"/>
        <v>0</v>
      </c>
    </row>
    <row r="5" spans="1:5" ht="12.75">
      <c r="A5" t="s">
        <v>12</v>
      </c>
      <c r="B5" s="5"/>
      <c r="C5" s="1">
        <v>4.5</v>
      </c>
      <c r="E5" s="35">
        <f t="shared" si="0"/>
        <v>0</v>
      </c>
    </row>
    <row r="6" spans="1:5" ht="12.75">
      <c r="A6" t="s">
        <v>13</v>
      </c>
      <c r="B6" s="5"/>
      <c r="C6" s="1">
        <v>3</v>
      </c>
      <c r="E6" s="35">
        <f t="shared" si="0"/>
        <v>0</v>
      </c>
    </row>
    <row r="7" spans="1:5" ht="12.75">
      <c r="A7" t="s">
        <v>14</v>
      </c>
      <c r="B7" s="5"/>
      <c r="C7" s="1">
        <v>2</v>
      </c>
      <c r="E7" s="35">
        <f t="shared" si="0"/>
        <v>0</v>
      </c>
    </row>
    <row r="8" spans="1:5" ht="12.75">
      <c r="A8" t="s">
        <v>67</v>
      </c>
      <c r="B8" s="5"/>
      <c r="C8" s="1">
        <v>0.5</v>
      </c>
      <c r="E8" s="35">
        <f t="shared" si="0"/>
        <v>0</v>
      </c>
    </row>
    <row r="9" spans="1:5" ht="12.75">
      <c r="A9" t="s">
        <v>2</v>
      </c>
      <c r="B9" s="5"/>
      <c r="C9" s="1">
        <v>8</v>
      </c>
      <c r="E9" s="35">
        <f>ROUND(B9*C9/1000,2)</f>
        <v>0</v>
      </c>
    </row>
    <row r="10" spans="1:5" ht="12.75">
      <c r="A10" t="s">
        <v>1</v>
      </c>
      <c r="B10" s="5"/>
      <c r="C10" s="1">
        <v>1</v>
      </c>
      <c r="E10" s="35">
        <f aca="true" t="shared" si="1" ref="E10:E15">ROUND(B10*C10/1000,2)</f>
        <v>0</v>
      </c>
    </row>
    <row r="11" spans="1:5" ht="12.75">
      <c r="A11" t="s">
        <v>11</v>
      </c>
      <c r="B11" s="5"/>
      <c r="C11" s="1">
        <v>1</v>
      </c>
      <c r="E11" s="35">
        <f t="shared" si="1"/>
        <v>0</v>
      </c>
    </row>
    <row r="12" spans="1:5" ht="12.75">
      <c r="A12" t="s">
        <v>3</v>
      </c>
      <c r="B12" s="5">
        <v>1000</v>
      </c>
      <c r="C12" s="1">
        <v>0.167</v>
      </c>
      <c r="D12" s="1" t="s">
        <v>69</v>
      </c>
      <c r="E12" s="35">
        <f t="shared" si="1"/>
        <v>0.17</v>
      </c>
    </row>
    <row r="13" spans="1:5" ht="12.75">
      <c r="A13" t="s">
        <v>4</v>
      </c>
      <c r="B13" s="5">
        <v>900</v>
      </c>
      <c r="C13" s="1">
        <v>0.167</v>
      </c>
      <c r="D13" s="1" t="s">
        <v>69</v>
      </c>
      <c r="E13" s="35">
        <f t="shared" si="1"/>
        <v>0.15</v>
      </c>
    </row>
    <row r="14" spans="1:5" ht="12.75">
      <c r="A14" t="s">
        <v>5</v>
      </c>
      <c r="B14" s="5">
        <v>1000</v>
      </c>
      <c r="C14" s="1">
        <v>0.167</v>
      </c>
      <c r="D14" s="1" t="s">
        <v>69</v>
      </c>
      <c r="E14" s="35">
        <f t="shared" si="1"/>
        <v>0.17</v>
      </c>
    </row>
    <row r="15" spans="1:5" ht="12.75">
      <c r="A15" t="s">
        <v>6</v>
      </c>
      <c r="B15" s="5">
        <v>1000</v>
      </c>
      <c r="C15" s="1">
        <v>0.167</v>
      </c>
      <c r="D15" s="1" t="s">
        <v>69</v>
      </c>
      <c r="E15" s="35">
        <f t="shared" si="1"/>
        <v>0.17</v>
      </c>
    </row>
    <row r="16" spans="1:5" ht="13.5" thickBot="1">
      <c r="A16" s="49" t="s">
        <v>66</v>
      </c>
      <c r="E16" s="12"/>
    </row>
    <row r="17" spans="1:5" ht="12.75">
      <c r="A17" s="50"/>
      <c r="B17" s="51"/>
      <c r="C17" s="51"/>
      <c r="D17" s="51"/>
      <c r="E17" s="52"/>
    </row>
    <row r="18" spans="1:5" ht="13.5" thickBot="1">
      <c r="A18" s="53"/>
      <c r="B18" s="54"/>
      <c r="C18" s="54"/>
      <c r="D18" s="54"/>
      <c r="E18" s="55"/>
    </row>
    <row r="19" spans="1:5" ht="12.75">
      <c r="A19" s="2"/>
      <c r="E19" s="12"/>
    </row>
    <row r="20" spans="4:5" ht="13.5" thickBot="1">
      <c r="D20" s="40" t="s">
        <v>164</v>
      </c>
      <c r="E20" s="33">
        <f>SUM(E2:E18)</f>
        <v>1.5799999999999998</v>
      </c>
    </row>
    <row r="21" spans="4:5" ht="13.5" thickTop="1">
      <c r="D21" s="9"/>
      <c r="E21" s="12"/>
    </row>
    <row r="22" spans="1:4" ht="15.75">
      <c r="A22" s="56" t="s">
        <v>65</v>
      </c>
      <c r="D22"/>
    </row>
    <row r="23" spans="1:4" ht="12.75">
      <c r="A23" t="s">
        <v>128</v>
      </c>
      <c r="D23"/>
    </row>
    <row r="24" spans="1:4" ht="12.75">
      <c r="A24" t="s">
        <v>129</v>
      </c>
      <c r="D24"/>
    </row>
    <row r="25" spans="1:4" ht="12.75">
      <c r="A25" s="6" t="s">
        <v>130</v>
      </c>
      <c r="D25"/>
    </row>
    <row r="26" spans="1:4" ht="12.75">
      <c r="A26" t="s">
        <v>131</v>
      </c>
      <c r="D26"/>
    </row>
    <row r="27" ht="12.75">
      <c r="A27" t="s">
        <v>68</v>
      </c>
    </row>
    <row r="28" ht="12.75">
      <c r="A28" t="s">
        <v>132</v>
      </c>
    </row>
    <row r="29" ht="12.75">
      <c r="A29" t="s">
        <v>133</v>
      </c>
    </row>
    <row r="30" ht="12.75">
      <c r="A30" t="s">
        <v>134</v>
      </c>
    </row>
    <row r="31" ht="12.75">
      <c r="A31" t="s">
        <v>135</v>
      </c>
    </row>
    <row r="32" ht="12.75">
      <c r="A32" t="s">
        <v>136</v>
      </c>
    </row>
    <row r="33" ht="12.75">
      <c r="A33" t="s">
        <v>137</v>
      </c>
    </row>
    <row r="34" ht="12.75">
      <c r="A34" t="s">
        <v>138</v>
      </c>
    </row>
    <row r="35" ht="12.75">
      <c r="A35" t="s">
        <v>139</v>
      </c>
    </row>
    <row r="36" ht="12.75">
      <c r="A36" t="s">
        <v>140</v>
      </c>
    </row>
    <row r="37" spans="1:6" ht="12.75">
      <c r="A37" t="s">
        <v>141</v>
      </c>
      <c r="F37" s="20"/>
    </row>
    <row r="38" spans="1:6" ht="12.75">
      <c r="A38" t="s">
        <v>142</v>
      </c>
      <c r="F38" s="20"/>
    </row>
    <row r="39" spans="1:6" ht="12.75">
      <c r="A39" t="s">
        <v>143</v>
      </c>
      <c r="F39" s="12"/>
    </row>
    <row r="40" spans="1:6" ht="12.75">
      <c r="A40" s="6" t="s">
        <v>144</v>
      </c>
      <c r="F40" s="12"/>
    </row>
    <row r="41" spans="1:6" ht="12.75">
      <c r="A41" t="s">
        <v>108</v>
      </c>
      <c r="F41" s="12"/>
    </row>
    <row r="42" spans="1:6" ht="12.75">
      <c r="A42" t="s">
        <v>145</v>
      </c>
      <c r="F42" s="12"/>
    </row>
    <row r="43" spans="1:6" ht="12.75">
      <c r="A43" t="s">
        <v>146</v>
      </c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spans="1:4" ht="12.75">
      <c r="A78" s="6"/>
      <c r="B78" s="5"/>
      <c r="D78"/>
    </row>
    <row r="79" spans="1:4" ht="12.75">
      <c r="A79" s="6"/>
      <c r="B79" s="5"/>
      <c r="D79"/>
    </row>
    <row r="80" spans="2:4" ht="12.75">
      <c r="B80" s="5"/>
      <c r="D80"/>
    </row>
    <row r="81" spans="2:4" ht="12.75">
      <c r="B81" s="5"/>
      <c r="D81"/>
    </row>
    <row r="82" spans="2:4" ht="12.75">
      <c r="B82" s="5"/>
      <c r="D82"/>
    </row>
    <row r="83" spans="2:4" ht="12.75">
      <c r="B83" s="5"/>
      <c r="D83"/>
    </row>
    <row r="84" spans="2:4" ht="12.75">
      <c r="B84" s="5"/>
      <c r="D84"/>
    </row>
    <row r="85" spans="2:4" ht="12.75">
      <c r="B85" s="5"/>
      <c r="D85"/>
    </row>
    <row r="86" ht="12.75">
      <c r="D86"/>
    </row>
    <row r="87" ht="12.75">
      <c r="D87"/>
    </row>
    <row r="88" ht="12.75">
      <c r="B88" s="5"/>
    </row>
  </sheetData>
  <printOptions/>
  <pageMargins left="0" right="0" top="1" bottom="1" header="0.5" footer="0.5"/>
  <pageSetup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0" bestFit="1" customWidth="1"/>
    <col min="2" max="2" width="78.8515625" style="0" customWidth="1"/>
    <col min="3" max="3" width="12.00390625" style="0" customWidth="1"/>
    <col min="6" max="6" width="18.00390625" style="35" bestFit="1" customWidth="1"/>
  </cols>
  <sheetData>
    <row r="1" ht="18">
      <c r="A1" s="71" t="s">
        <v>163</v>
      </c>
    </row>
    <row r="3" spans="1:2" ht="12.75">
      <c r="A3" s="40" t="s">
        <v>83</v>
      </c>
      <c r="B3" t="s">
        <v>81</v>
      </c>
    </row>
    <row r="4" ht="12.75">
      <c r="B4" t="s">
        <v>89</v>
      </c>
    </row>
    <row r="5" spans="2:7" ht="12.75">
      <c r="B5" t="s">
        <v>91</v>
      </c>
      <c r="C5" s="1"/>
      <c r="D5" s="1"/>
      <c r="E5" s="1"/>
      <c r="F5" s="34"/>
      <c r="G5" s="2"/>
    </row>
    <row r="6" spans="2:7" ht="12.75">
      <c r="B6" t="s">
        <v>95</v>
      </c>
      <c r="C6" s="1"/>
      <c r="D6" s="1"/>
      <c r="E6" s="1"/>
      <c r="F6" s="34"/>
      <c r="G6" s="2"/>
    </row>
    <row r="7" spans="3:7" ht="13.5" thickBot="1">
      <c r="C7" s="18" t="s">
        <v>80</v>
      </c>
      <c r="F7" s="35" t="s">
        <v>9</v>
      </c>
      <c r="G7" s="2"/>
    </row>
    <row r="8" spans="2:6" ht="12.75">
      <c r="B8" s="21" t="s">
        <v>48</v>
      </c>
      <c r="C8" s="22">
        <v>628</v>
      </c>
      <c r="D8" s="23"/>
      <c r="E8" s="23"/>
      <c r="F8" s="36">
        <f>ROUND(C8/182*0.56,2)</f>
        <v>1.93</v>
      </c>
    </row>
    <row r="9" spans="2:6" ht="13.5" thickBot="1">
      <c r="B9" s="24" t="s">
        <v>49</v>
      </c>
      <c r="C9" s="25">
        <v>3442</v>
      </c>
      <c r="D9" s="26"/>
      <c r="E9" s="26"/>
      <c r="F9" s="37">
        <f>ROUND(C9/183*0.44,2)</f>
        <v>8.28</v>
      </c>
    </row>
    <row r="10" spans="2:7" ht="13.5" thickBot="1">
      <c r="B10" s="20"/>
      <c r="C10" s="8"/>
      <c r="D10" s="20"/>
      <c r="E10" s="20"/>
      <c r="F10" s="38"/>
      <c r="G10" s="20"/>
    </row>
    <row r="11" spans="2:6" ht="12.75">
      <c r="B11" s="21" t="s">
        <v>50</v>
      </c>
      <c r="C11" s="22">
        <v>837</v>
      </c>
      <c r="D11" s="23"/>
      <c r="E11" s="23"/>
      <c r="F11" s="36">
        <f>ROUND(C11/182*0.56,2)</f>
        <v>2.58</v>
      </c>
    </row>
    <row r="12" spans="2:6" ht="13.5" thickBot="1">
      <c r="B12" s="24" t="s">
        <v>51</v>
      </c>
      <c r="C12" s="25">
        <v>4425</v>
      </c>
      <c r="D12" s="26"/>
      <c r="E12" s="26"/>
      <c r="F12" s="37">
        <f>ROUND(C12/183*0.44,2)</f>
        <v>10.64</v>
      </c>
    </row>
    <row r="13" spans="2:6" ht="13.5" thickBot="1">
      <c r="B13" s="20"/>
      <c r="C13" s="8"/>
      <c r="D13" s="20"/>
      <c r="E13" s="20"/>
      <c r="F13" s="38"/>
    </row>
    <row r="14" spans="2:6" ht="12.75">
      <c r="B14" s="21" t="s">
        <v>52</v>
      </c>
      <c r="C14" s="22">
        <v>1183</v>
      </c>
      <c r="D14" s="23"/>
      <c r="E14" s="23"/>
      <c r="F14" s="36">
        <f>ROUND(C14/182*0.56,2)</f>
        <v>3.64</v>
      </c>
    </row>
    <row r="15" spans="2:6" ht="13.5" thickBot="1">
      <c r="B15" s="24" t="s">
        <v>53</v>
      </c>
      <c r="C15" s="25">
        <v>5958</v>
      </c>
      <c r="D15" s="26"/>
      <c r="E15" s="26"/>
      <c r="F15" s="37">
        <f>ROUND(C15/183*0.44,2)</f>
        <v>14.33</v>
      </c>
    </row>
    <row r="16" spans="2:7" ht="13.5" thickBot="1">
      <c r="B16" s="20"/>
      <c r="C16" s="8"/>
      <c r="D16" s="20"/>
      <c r="E16" s="20"/>
      <c r="F16" s="38"/>
      <c r="G16" s="20"/>
    </row>
    <row r="17" spans="2:6" ht="12.75">
      <c r="B17" s="21" t="s">
        <v>54</v>
      </c>
      <c r="C17" s="22">
        <v>1535</v>
      </c>
      <c r="D17" s="23"/>
      <c r="E17" s="23"/>
      <c r="F17" s="36">
        <f>ROUND(C17/182*0.56,2)</f>
        <v>4.72</v>
      </c>
    </row>
    <row r="18" spans="2:6" ht="13.5" thickBot="1">
      <c r="B18" s="24" t="s">
        <v>55</v>
      </c>
      <c r="C18" s="25">
        <v>7265</v>
      </c>
      <c r="D18" s="26"/>
      <c r="E18" s="26"/>
      <c r="F18" s="37">
        <f>ROUND(C18/183*0.44,2)</f>
        <v>17.47</v>
      </c>
    </row>
    <row r="19" spans="2:7" ht="12.75">
      <c r="B19" s="20"/>
      <c r="C19" s="19"/>
      <c r="D19" s="12"/>
      <c r="E19" s="12"/>
      <c r="F19" s="34"/>
      <c r="G19" s="12"/>
    </row>
    <row r="20" spans="1:7" ht="12.75">
      <c r="A20" s="40" t="s">
        <v>82</v>
      </c>
      <c r="B20" t="s">
        <v>84</v>
      </c>
      <c r="C20" s="19"/>
      <c r="D20" s="12"/>
      <c r="E20" s="12"/>
      <c r="F20" s="34"/>
      <c r="G20" s="12"/>
    </row>
    <row r="21" spans="2:7" ht="12.75">
      <c r="B21" t="s">
        <v>89</v>
      </c>
      <c r="C21" s="19"/>
      <c r="D21" s="12"/>
      <c r="E21" s="12"/>
      <c r="F21" s="34"/>
      <c r="G21" s="12"/>
    </row>
    <row r="22" spans="2:7" ht="12.75">
      <c r="B22" t="s">
        <v>91</v>
      </c>
      <c r="C22" s="19"/>
      <c r="D22" s="12"/>
      <c r="E22" s="12"/>
      <c r="F22" s="34"/>
      <c r="G22" s="12"/>
    </row>
    <row r="23" spans="2:7" ht="12.75">
      <c r="B23" t="s">
        <v>90</v>
      </c>
      <c r="C23" s="19"/>
      <c r="D23" s="12"/>
      <c r="E23" s="12"/>
      <c r="F23" s="34"/>
      <c r="G23" s="12"/>
    </row>
    <row r="24" spans="2:7" ht="13.5" thickBot="1">
      <c r="B24" s="20"/>
      <c r="C24" s="18" t="s">
        <v>80</v>
      </c>
      <c r="F24" s="35" t="s">
        <v>9</v>
      </c>
      <c r="G24" s="12"/>
    </row>
    <row r="25" spans="2:6" ht="12.75">
      <c r="B25" s="27" t="s">
        <v>56</v>
      </c>
      <c r="C25" s="22">
        <v>628</v>
      </c>
      <c r="D25" s="23"/>
      <c r="E25" s="23"/>
      <c r="F25" s="36">
        <f>ROUND(C25/182*0.56,2)</f>
        <v>1.93</v>
      </c>
    </row>
    <row r="26" spans="2:6" ht="13.5" thickBot="1">
      <c r="B26" s="28" t="s">
        <v>57</v>
      </c>
      <c r="C26" s="25">
        <v>2504</v>
      </c>
      <c r="D26" s="26"/>
      <c r="E26" s="26"/>
      <c r="F26" s="37">
        <f>ROUND(C26/183*0.44,2)</f>
        <v>6.02</v>
      </c>
    </row>
    <row r="27" spans="2:7" ht="13.5" thickBot="1">
      <c r="B27" s="20"/>
      <c r="C27" s="8"/>
      <c r="D27" s="20"/>
      <c r="E27" s="20"/>
      <c r="F27" s="38"/>
      <c r="G27" s="20"/>
    </row>
    <row r="28" spans="2:6" ht="12.75">
      <c r="B28" s="27" t="s">
        <v>58</v>
      </c>
      <c r="C28" s="22">
        <v>837</v>
      </c>
      <c r="D28" s="23"/>
      <c r="E28" s="23"/>
      <c r="F28" s="36">
        <f>ROUND(C28/182*0.56,2)</f>
        <v>2.58</v>
      </c>
    </row>
    <row r="29" spans="2:6" ht="13.5" thickBot="1">
      <c r="B29" s="28" t="s">
        <v>59</v>
      </c>
      <c r="C29" s="25">
        <v>3220</v>
      </c>
      <c r="D29" s="26"/>
      <c r="E29" s="26"/>
      <c r="F29" s="37">
        <f>ROUND(C29/183*0.44,2)</f>
        <v>7.74</v>
      </c>
    </row>
    <row r="30" spans="2:7" ht="13.5" thickBot="1">
      <c r="B30" s="20"/>
      <c r="C30" s="8"/>
      <c r="D30" s="20"/>
      <c r="E30" s="20"/>
      <c r="F30" s="38"/>
      <c r="G30" s="20"/>
    </row>
    <row r="31" spans="2:6" ht="12.75">
      <c r="B31" s="27" t="s">
        <v>60</v>
      </c>
      <c r="C31" s="22">
        <v>1183</v>
      </c>
      <c r="D31" s="23"/>
      <c r="E31" s="23"/>
      <c r="F31" s="36">
        <f>ROUND(C31/182*0.56,2)</f>
        <v>3.64</v>
      </c>
    </row>
    <row r="32" spans="2:6" ht="13.5" thickBot="1">
      <c r="B32" s="28" t="s">
        <v>61</v>
      </c>
      <c r="C32" s="25">
        <v>4353</v>
      </c>
      <c r="D32" s="26"/>
      <c r="E32" s="26"/>
      <c r="F32" s="37">
        <f>ROUND(C32/183*0.44,2)</f>
        <v>10.47</v>
      </c>
    </row>
    <row r="33" spans="2:7" ht="13.5" thickBot="1">
      <c r="B33" s="20"/>
      <c r="C33" s="8"/>
      <c r="D33" s="20"/>
      <c r="E33" s="20"/>
      <c r="F33" s="38"/>
      <c r="G33" s="20"/>
    </row>
    <row r="34" spans="2:6" ht="12.75">
      <c r="B34" s="27" t="s">
        <v>62</v>
      </c>
      <c r="C34" s="22">
        <v>1535</v>
      </c>
      <c r="D34" s="23"/>
      <c r="E34" s="23"/>
      <c r="F34" s="36">
        <f>ROUND(C34/182*0.56,2)</f>
        <v>4.72</v>
      </c>
    </row>
    <row r="35" spans="2:6" ht="13.5" thickBot="1">
      <c r="B35" s="28" t="s">
        <v>63</v>
      </c>
      <c r="C35" s="25">
        <v>5331</v>
      </c>
      <c r="D35" s="26"/>
      <c r="E35" s="26"/>
      <c r="F35" s="37">
        <f>ROUND(C35/183*0.44,2)</f>
        <v>12.82</v>
      </c>
    </row>
    <row r="36" spans="2:6" ht="12.75">
      <c r="B36" s="12"/>
      <c r="C36" s="8"/>
      <c r="D36" s="8"/>
      <c r="E36" s="8"/>
      <c r="F36" s="38"/>
    </row>
    <row r="37" spans="1:7" ht="12.75">
      <c r="A37" s="40" t="s">
        <v>85</v>
      </c>
      <c r="B37" s="62" t="s">
        <v>87</v>
      </c>
      <c r="C37" s="8"/>
      <c r="D37" s="8"/>
      <c r="E37" s="8"/>
      <c r="F37" s="38"/>
      <c r="G37" s="59"/>
    </row>
    <row r="38" spans="2:7" ht="12.75">
      <c r="B38" t="s">
        <v>88</v>
      </c>
      <c r="C38" s="8"/>
      <c r="D38" s="8"/>
      <c r="E38" s="8"/>
      <c r="F38" s="38"/>
      <c r="G38" s="59"/>
    </row>
    <row r="39" spans="2:7" ht="12.75">
      <c r="B39" s="62" t="s">
        <v>96</v>
      </c>
      <c r="C39" s="8"/>
      <c r="D39" s="8"/>
      <c r="E39" s="8"/>
      <c r="F39" s="38"/>
      <c r="G39" s="59"/>
    </row>
    <row r="40" spans="2:7" ht="13.5" thickBot="1">
      <c r="B40" s="12"/>
      <c r="C40" s="18" t="s">
        <v>80</v>
      </c>
      <c r="F40" s="35" t="s">
        <v>9</v>
      </c>
      <c r="G40" s="59"/>
    </row>
    <row r="41" spans="2:6" ht="12.75">
      <c r="B41" s="29" t="s">
        <v>64</v>
      </c>
      <c r="C41" s="30">
        <f>ROUND(50*1100/1000,0)</f>
        <v>55</v>
      </c>
      <c r="D41" s="22"/>
      <c r="E41" s="23"/>
      <c r="F41" s="36">
        <f>ROUND(C41/182*0.56,2)</f>
        <v>0.17</v>
      </c>
    </row>
    <row r="42" spans="2:6" ht="13.5" thickBot="1">
      <c r="B42" s="31" t="s">
        <v>19</v>
      </c>
      <c r="C42" s="32">
        <f>ROUND(2050*1650/1000,0)</f>
        <v>3383</v>
      </c>
      <c r="D42" s="25"/>
      <c r="E42" s="26"/>
      <c r="F42" s="37">
        <f>ROUND(C42/183*0.44,2)</f>
        <v>8.13</v>
      </c>
    </row>
    <row r="43" spans="2:7" ht="13.5" thickBot="1">
      <c r="B43" s="20"/>
      <c r="C43" s="8"/>
      <c r="D43" s="20"/>
      <c r="E43" s="20"/>
      <c r="F43" s="38"/>
      <c r="G43" s="20"/>
    </row>
    <row r="44" spans="2:6" ht="12.75">
      <c r="B44" s="29" t="s">
        <v>20</v>
      </c>
      <c r="C44" s="30">
        <f>ROUND(80*1100/1000,0)</f>
        <v>88</v>
      </c>
      <c r="D44" s="22"/>
      <c r="E44" s="23"/>
      <c r="F44" s="36">
        <f>ROUND(C44/182*0.56,2)</f>
        <v>0.27</v>
      </c>
    </row>
    <row r="45" spans="2:6" ht="13.5" thickBot="1">
      <c r="B45" s="31" t="s">
        <v>19</v>
      </c>
      <c r="C45" s="32">
        <f>ROUND(2080*1650/1000,0)</f>
        <v>3432</v>
      </c>
      <c r="D45" s="25"/>
      <c r="E45" s="26"/>
      <c r="F45" s="37">
        <f>ROUND(C45/183*0.44,2)</f>
        <v>8.25</v>
      </c>
    </row>
    <row r="46" spans="2:7" ht="13.5" thickBot="1">
      <c r="B46" s="20"/>
      <c r="C46" s="8"/>
      <c r="D46" s="20"/>
      <c r="E46" s="20"/>
      <c r="F46" s="38"/>
      <c r="G46" s="20"/>
    </row>
    <row r="47" spans="2:6" ht="12.75">
      <c r="B47" s="29" t="s">
        <v>21</v>
      </c>
      <c r="C47" s="30">
        <f>ROUND(130*1100/1000,0)</f>
        <v>143</v>
      </c>
      <c r="D47" s="22"/>
      <c r="E47" s="23"/>
      <c r="F47" s="36">
        <f>ROUND(C47/182*0.56,2)</f>
        <v>0.44</v>
      </c>
    </row>
    <row r="48" spans="2:6" ht="13.5" thickBot="1">
      <c r="B48" s="31" t="s">
        <v>19</v>
      </c>
      <c r="C48" s="32">
        <f>ROUND(2130*1650/1000,0)</f>
        <v>3515</v>
      </c>
      <c r="D48" s="25"/>
      <c r="E48" s="26"/>
      <c r="F48" s="37">
        <f>ROUND(C48/183*0.44,2)</f>
        <v>8.45</v>
      </c>
    </row>
    <row r="49" spans="2:7" ht="13.5" thickBot="1">
      <c r="B49" s="20"/>
      <c r="C49" s="8"/>
      <c r="D49" s="20"/>
      <c r="E49" s="20"/>
      <c r="F49" s="38"/>
      <c r="G49" s="20"/>
    </row>
    <row r="50" spans="2:6" ht="12.75">
      <c r="B50" s="29" t="s">
        <v>22</v>
      </c>
      <c r="C50" s="30">
        <f>ROUND(180*1100/1000,0)</f>
        <v>198</v>
      </c>
      <c r="D50" s="22"/>
      <c r="E50" s="23"/>
      <c r="F50" s="36">
        <f>ROUND(C50/182*0.56,2)</f>
        <v>0.61</v>
      </c>
    </row>
    <row r="51" spans="2:6" ht="13.5" thickBot="1">
      <c r="B51" s="31" t="s">
        <v>19</v>
      </c>
      <c r="C51" s="32">
        <f>ROUND(2180*1650/1000,0)</f>
        <v>3597</v>
      </c>
      <c r="D51" s="25"/>
      <c r="E51" s="26"/>
      <c r="F51" s="37">
        <f>ROUND(C51/183*0.44,2)</f>
        <v>8.65</v>
      </c>
    </row>
    <row r="52" spans="2:7" ht="13.5" thickBot="1">
      <c r="B52" s="20"/>
      <c r="C52" s="8"/>
      <c r="D52" s="20"/>
      <c r="E52" s="20"/>
      <c r="F52" s="38"/>
      <c r="G52" s="20"/>
    </row>
    <row r="53" spans="2:6" ht="12.75">
      <c r="B53" s="29" t="s">
        <v>46</v>
      </c>
      <c r="C53" s="30">
        <f>ROUND(210*1100/1000,0)</f>
        <v>231</v>
      </c>
      <c r="D53" s="22"/>
      <c r="E53" s="23"/>
      <c r="F53" s="36">
        <f>ROUND(C53/182*0.56,2)</f>
        <v>0.71</v>
      </c>
    </row>
    <row r="54" spans="2:6" ht="13.5" thickBot="1">
      <c r="B54" s="31" t="s">
        <v>19</v>
      </c>
      <c r="C54" s="32">
        <f>ROUND(2210*1650/1000,0)</f>
        <v>3647</v>
      </c>
      <c r="D54" s="25"/>
      <c r="E54" s="26"/>
      <c r="F54" s="37">
        <f>ROUND(C54/183*0.44,2)</f>
        <v>8.77</v>
      </c>
    </row>
    <row r="55" spans="2:7" ht="13.5" thickBot="1">
      <c r="B55" s="20"/>
      <c r="C55" s="8"/>
      <c r="D55" s="20"/>
      <c r="E55" s="20"/>
      <c r="F55" s="38"/>
      <c r="G55" s="20"/>
    </row>
    <row r="56" spans="2:6" ht="12.75">
      <c r="B56" s="27" t="s">
        <v>23</v>
      </c>
      <c r="C56" s="30">
        <f>ROUND(68*1100/1000,0)</f>
        <v>75</v>
      </c>
      <c r="D56" s="22"/>
      <c r="E56" s="23"/>
      <c r="F56" s="36">
        <f>ROUND(C56/182*0.56,2)</f>
        <v>0.23</v>
      </c>
    </row>
    <row r="57" spans="2:6" ht="13.5" thickBot="1">
      <c r="B57" s="31" t="s">
        <v>19</v>
      </c>
      <c r="C57" s="32">
        <f>ROUND(2068*1650/1000,0)</f>
        <v>3412</v>
      </c>
      <c r="D57" s="25"/>
      <c r="E57" s="26"/>
      <c r="F57" s="37">
        <f>ROUND(C57/183*0.44,2)</f>
        <v>8.2</v>
      </c>
    </row>
    <row r="58" spans="2:7" ht="13.5" thickBot="1">
      <c r="B58" s="20"/>
      <c r="C58" s="8"/>
      <c r="D58" s="20"/>
      <c r="E58" s="20"/>
      <c r="F58" s="38"/>
      <c r="G58" s="20"/>
    </row>
    <row r="59" spans="2:6" ht="12.75">
      <c r="B59" s="27" t="s">
        <v>24</v>
      </c>
      <c r="C59" s="30">
        <f>ROUND(135*1100/1000,0)</f>
        <v>149</v>
      </c>
      <c r="D59" s="22"/>
      <c r="E59" s="23"/>
      <c r="F59" s="36">
        <f>ROUND(C59/182*0.56,2)</f>
        <v>0.46</v>
      </c>
    </row>
    <row r="60" spans="2:6" ht="13.5" thickBot="1">
      <c r="B60" s="31" t="s">
        <v>19</v>
      </c>
      <c r="C60" s="32">
        <f>ROUND(2135*1650/1000,0)</f>
        <v>3523</v>
      </c>
      <c r="D60" s="25"/>
      <c r="E60" s="26"/>
      <c r="F60" s="37">
        <f>ROUND(C60/183*0.44,2)</f>
        <v>8.47</v>
      </c>
    </row>
    <row r="61" spans="2:7" ht="13.5" thickBot="1">
      <c r="B61" s="20"/>
      <c r="C61" s="8"/>
      <c r="D61" s="20"/>
      <c r="E61" s="20"/>
      <c r="F61" s="38"/>
      <c r="G61" s="20"/>
    </row>
    <row r="62" spans="2:6" ht="12.75">
      <c r="B62" s="27" t="s">
        <v>25</v>
      </c>
      <c r="C62" s="30">
        <f>ROUND(150*1100/1000,0)</f>
        <v>165</v>
      </c>
      <c r="D62" s="22"/>
      <c r="E62" s="23"/>
      <c r="F62" s="36">
        <f>ROUND(C62/182*0.56,2)</f>
        <v>0.51</v>
      </c>
    </row>
    <row r="63" spans="2:6" ht="13.5" thickBot="1">
      <c r="B63" s="31" t="s">
        <v>19</v>
      </c>
      <c r="C63" s="32">
        <f>ROUND(2150*1650/1000,0)</f>
        <v>3548</v>
      </c>
      <c r="D63" s="25"/>
      <c r="E63" s="26"/>
      <c r="F63" s="37">
        <f>ROUND(C63/183*0.44,2)</f>
        <v>8.53</v>
      </c>
    </row>
    <row r="64" spans="2:7" ht="13.5" thickBot="1">
      <c r="B64" s="20"/>
      <c r="C64" s="8"/>
      <c r="D64" s="20"/>
      <c r="E64" s="20"/>
      <c r="F64" s="38"/>
      <c r="G64" s="20"/>
    </row>
    <row r="65" spans="2:6" ht="12.75">
      <c r="B65" s="27" t="s">
        <v>26</v>
      </c>
      <c r="C65" s="30">
        <f>ROUND(260*1100/1000,0)</f>
        <v>286</v>
      </c>
      <c r="D65" s="22"/>
      <c r="E65" s="23"/>
      <c r="F65" s="36">
        <f>ROUND(C65/182*0.56,2)</f>
        <v>0.88</v>
      </c>
    </row>
    <row r="66" spans="2:6" ht="13.5" thickBot="1">
      <c r="B66" s="31" t="s">
        <v>19</v>
      </c>
      <c r="C66" s="32">
        <f>ROUND(2260*1650/1000,0)</f>
        <v>3729</v>
      </c>
      <c r="D66" s="25"/>
      <c r="E66" s="26"/>
      <c r="F66" s="37">
        <f>ROUND(C66/183*0.44,2)</f>
        <v>8.97</v>
      </c>
    </row>
    <row r="67" spans="2:7" ht="13.5" thickBot="1">
      <c r="B67" s="20"/>
      <c r="C67" s="8"/>
      <c r="D67" s="20"/>
      <c r="E67" s="20"/>
      <c r="F67" s="38"/>
      <c r="G67" s="20"/>
    </row>
    <row r="68" spans="2:6" ht="12.75">
      <c r="B68" s="60" t="s">
        <v>27</v>
      </c>
      <c r="C68" s="30">
        <f>ROUND(50*1100/1000,0)</f>
        <v>55</v>
      </c>
      <c r="D68" s="22"/>
      <c r="E68" s="23"/>
      <c r="F68" s="36">
        <f>ROUND(C68/182*0.56,2)</f>
        <v>0.17</v>
      </c>
    </row>
    <row r="69" spans="2:6" ht="13.5" thickBot="1">
      <c r="B69" s="31" t="s">
        <v>19</v>
      </c>
      <c r="C69" s="32">
        <f>ROUND(2050*1650/1000,0)</f>
        <v>3383</v>
      </c>
      <c r="D69" s="25"/>
      <c r="E69" s="26"/>
      <c r="F69" s="37">
        <f>ROUND(C69/183*0.44,2)</f>
        <v>8.13</v>
      </c>
    </row>
    <row r="70" spans="2:7" ht="13.5" thickBot="1">
      <c r="B70" s="20"/>
      <c r="C70" s="8"/>
      <c r="D70" s="20"/>
      <c r="E70" s="20"/>
      <c r="F70" s="38"/>
      <c r="G70" s="20"/>
    </row>
    <row r="71" spans="2:6" ht="12.75">
      <c r="B71" s="60" t="s">
        <v>29</v>
      </c>
      <c r="C71" s="30">
        <f>ROUND(85*1100/1000,0)</f>
        <v>94</v>
      </c>
      <c r="D71" s="22"/>
      <c r="E71" s="23"/>
      <c r="F71" s="36">
        <f>ROUND(C71/182*0.56,2)</f>
        <v>0.29</v>
      </c>
    </row>
    <row r="72" spans="2:6" ht="13.5" thickBot="1">
      <c r="B72" s="31" t="s">
        <v>19</v>
      </c>
      <c r="C72" s="32">
        <f>ROUND(2085*1650/1000,0)</f>
        <v>3440</v>
      </c>
      <c r="D72" s="25"/>
      <c r="E72" s="26"/>
      <c r="F72" s="37">
        <f>ROUND(C72/183*0.44,2)</f>
        <v>8.27</v>
      </c>
    </row>
    <row r="73" spans="2:7" ht="13.5" thickBot="1">
      <c r="B73" s="20"/>
      <c r="C73" s="8"/>
      <c r="D73" s="20"/>
      <c r="E73" s="20"/>
      <c r="F73" s="38"/>
      <c r="G73" s="20"/>
    </row>
    <row r="74" spans="2:6" ht="12.75">
      <c r="B74" s="60" t="s">
        <v>30</v>
      </c>
      <c r="C74" s="30">
        <f>ROUND(165*1100/1000,0)</f>
        <v>182</v>
      </c>
      <c r="D74" s="22"/>
      <c r="E74" s="23"/>
      <c r="F74" s="36">
        <f>ROUND(C74/182*0.56,2)</f>
        <v>0.56</v>
      </c>
    </row>
    <row r="75" spans="2:6" ht="13.5" thickBot="1">
      <c r="B75" s="31" t="s">
        <v>19</v>
      </c>
      <c r="C75" s="32">
        <f>ROUND(2165*1650/1000,0)</f>
        <v>3572</v>
      </c>
      <c r="D75" s="25"/>
      <c r="E75" s="26"/>
      <c r="F75" s="37">
        <f>ROUND(C75/183*0.44,2)</f>
        <v>8.59</v>
      </c>
    </row>
    <row r="76" spans="2:7" ht="13.5" thickBot="1">
      <c r="B76" s="20"/>
      <c r="C76" s="8"/>
      <c r="D76" s="20"/>
      <c r="E76" s="20"/>
      <c r="F76" s="38"/>
      <c r="G76" s="20"/>
    </row>
    <row r="77" spans="2:6" ht="12.75">
      <c r="B77" s="60" t="s">
        <v>31</v>
      </c>
      <c r="C77" s="30">
        <f>ROUND(165*1100/1000,0)</f>
        <v>182</v>
      </c>
      <c r="D77" s="22"/>
      <c r="E77" s="23"/>
      <c r="F77" s="36">
        <f>ROUND(C77/182*0.56,2)</f>
        <v>0.56</v>
      </c>
    </row>
    <row r="78" spans="2:6" ht="13.5" thickBot="1">
      <c r="B78" s="31" t="s">
        <v>19</v>
      </c>
      <c r="C78" s="32">
        <f>ROUND(2165*1650/1000,0)</f>
        <v>3572</v>
      </c>
      <c r="D78" s="25"/>
      <c r="E78" s="26"/>
      <c r="F78" s="37">
        <f>ROUND(C78/183*0.44,2)</f>
        <v>8.59</v>
      </c>
    </row>
    <row r="79" spans="2:7" ht="13.5" thickBot="1">
      <c r="B79" s="20"/>
      <c r="C79" s="8"/>
      <c r="D79" s="20"/>
      <c r="E79" s="20"/>
      <c r="F79" s="38"/>
      <c r="G79" s="20"/>
    </row>
    <row r="80" spans="2:6" ht="12.75">
      <c r="B80" s="60" t="s">
        <v>45</v>
      </c>
      <c r="C80" s="30">
        <f>ROUND(235*1100/1000,0)</f>
        <v>259</v>
      </c>
      <c r="D80" s="22"/>
      <c r="E80" s="23"/>
      <c r="F80" s="36">
        <f>ROUND(C80/182*0.56,2)</f>
        <v>0.8</v>
      </c>
    </row>
    <row r="81" spans="2:6" ht="13.5" thickBot="1">
      <c r="B81" s="31" t="s">
        <v>19</v>
      </c>
      <c r="C81" s="32">
        <f>ROUND(2235*1650/1000,0)</f>
        <v>3688</v>
      </c>
      <c r="D81" s="25"/>
      <c r="E81" s="26"/>
      <c r="F81" s="37">
        <f>ROUND(C81/183*0.44,2)</f>
        <v>8.87</v>
      </c>
    </row>
    <row r="82" spans="2:7" ht="13.5" thickBot="1">
      <c r="B82" s="20"/>
      <c r="C82" s="8"/>
      <c r="D82" s="20"/>
      <c r="E82" s="20"/>
      <c r="F82" s="38"/>
      <c r="G82" s="20"/>
    </row>
    <row r="83" spans="2:6" ht="12.75">
      <c r="B83" s="61" t="s">
        <v>32</v>
      </c>
      <c r="C83" s="30">
        <f>ROUND(150*1100/1000,0)</f>
        <v>165</v>
      </c>
      <c r="D83" s="22"/>
      <c r="E83" s="23"/>
      <c r="F83" s="36">
        <f>ROUND(C83/182*0.56,2)</f>
        <v>0.51</v>
      </c>
    </row>
    <row r="84" spans="2:6" ht="13.5" thickBot="1">
      <c r="B84" s="31" t="s">
        <v>19</v>
      </c>
      <c r="C84" s="32">
        <f>ROUND(2150*1650/1000,0)</f>
        <v>3548</v>
      </c>
      <c r="D84" s="25"/>
      <c r="E84" s="26"/>
      <c r="F84" s="37">
        <f>ROUND(C84/183*0.44,2)</f>
        <v>8.53</v>
      </c>
    </row>
    <row r="85" spans="2:7" ht="13.5" thickBot="1">
      <c r="B85" s="20"/>
      <c r="C85" s="8"/>
      <c r="D85" s="20"/>
      <c r="E85" s="20"/>
      <c r="F85" s="38"/>
      <c r="G85" s="20"/>
    </row>
    <row r="86" spans="2:6" ht="12.75">
      <c r="B86" s="61" t="s">
        <v>33</v>
      </c>
      <c r="C86" s="30">
        <f>ROUND(180*1100/1000,0)</f>
        <v>198</v>
      </c>
      <c r="D86" s="22"/>
      <c r="E86" s="23"/>
      <c r="F86" s="36">
        <f>ROUND(C86/182*0.56,2)</f>
        <v>0.61</v>
      </c>
    </row>
    <row r="87" spans="2:6" ht="13.5" thickBot="1">
      <c r="B87" s="31" t="s">
        <v>19</v>
      </c>
      <c r="C87" s="32">
        <f>ROUND(2180*1650/1000,0)</f>
        <v>3597</v>
      </c>
      <c r="D87" s="25"/>
      <c r="E87" s="26"/>
      <c r="F87" s="37">
        <f>ROUND(C87/183*0.44,2)</f>
        <v>8.65</v>
      </c>
    </row>
    <row r="88" spans="2:7" ht="13.5" thickBot="1">
      <c r="B88" s="20"/>
      <c r="C88" s="8"/>
      <c r="D88" s="20"/>
      <c r="E88" s="20"/>
      <c r="F88" s="38"/>
      <c r="G88" s="20"/>
    </row>
    <row r="89" spans="2:6" ht="12.75">
      <c r="B89" s="61" t="s">
        <v>47</v>
      </c>
      <c r="C89" s="30">
        <f>ROUND(225*1100/1000,0)</f>
        <v>248</v>
      </c>
      <c r="D89" s="22"/>
      <c r="E89" s="23"/>
      <c r="F89" s="36">
        <f>ROUND(C89/182*0.56,2)</f>
        <v>0.76</v>
      </c>
    </row>
    <row r="90" spans="2:6" ht="13.5" thickBot="1">
      <c r="B90" s="31" t="s">
        <v>19</v>
      </c>
      <c r="C90" s="32">
        <f>ROUND(2225*1650/1000,0)</f>
        <v>3671</v>
      </c>
      <c r="D90" s="25"/>
      <c r="E90" s="26"/>
      <c r="F90" s="37">
        <f>ROUND(C90/183*0.44,2)</f>
        <v>8.83</v>
      </c>
    </row>
    <row r="92" spans="1:2" ht="12.75">
      <c r="A92" s="40" t="s">
        <v>86</v>
      </c>
      <c r="B92" s="62" t="s">
        <v>92</v>
      </c>
    </row>
    <row r="93" ht="12.75">
      <c r="B93" t="s">
        <v>93</v>
      </c>
    </row>
    <row r="94" ht="12.75">
      <c r="B94" s="62" t="s">
        <v>94</v>
      </c>
    </row>
    <row r="95" spans="3:6" ht="13.5" thickBot="1">
      <c r="C95" s="18" t="s">
        <v>80</v>
      </c>
      <c r="F95" s="35" t="s">
        <v>9</v>
      </c>
    </row>
    <row r="96" spans="2:6" ht="12.75">
      <c r="B96" s="29" t="s">
        <v>64</v>
      </c>
      <c r="C96" s="30">
        <f>ROUND(50*1100/1000,0)</f>
        <v>55</v>
      </c>
      <c r="D96" s="22"/>
      <c r="E96" s="23"/>
      <c r="F96" s="36">
        <f>ROUND(C96/182*0.56,2)</f>
        <v>0.17</v>
      </c>
    </row>
    <row r="97" spans="2:6" ht="13.5" thickBot="1">
      <c r="B97" s="31" t="s">
        <v>28</v>
      </c>
      <c r="C97" s="32">
        <f>ROUND(50*1650/1000,0)</f>
        <v>83</v>
      </c>
      <c r="D97" s="25"/>
      <c r="E97" s="26"/>
      <c r="F97" s="37">
        <f>ROUND(C97/183*0.44,2)</f>
        <v>0.2</v>
      </c>
    </row>
    <row r="98" ht="13.5" thickBot="1"/>
    <row r="99" spans="2:6" ht="12.75">
      <c r="B99" s="29" t="s">
        <v>20</v>
      </c>
      <c r="C99" s="30">
        <f>ROUND(80*1100/1000,0)</f>
        <v>88</v>
      </c>
      <c r="D99" s="22"/>
      <c r="E99" s="23"/>
      <c r="F99" s="36">
        <f>ROUND(C99/182*0.56,2)</f>
        <v>0.27</v>
      </c>
    </row>
    <row r="100" spans="2:6" ht="13.5" thickBot="1">
      <c r="B100" s="31" t="s">
        <v>28</v>
      </c>
      <c r="C100" s="32">
        <f>ROUND(80*1650/1000,0)</f>
        <v>132</v>
      </c>
      <c r="D100" s="25"/>
      <c r="E100" s="26"/>
      <c r="F100" s="37">
        <f>ROUND(C100/183*0.44,2)</f>
        <v>0.32</v>
      </c>
    </row>
    <row r="101" ht="13.5" thickBot="1"/>
    <row r="102" spans="2:6" ht="12.75">
      <c r="B102" s="29" t="s">
        <v>21</v>
      </c>
      <c r="C102" s="30">
        <f>ROUND(130*1100/1000,0)</f>
        <v>143</v>
      </c>
      <c r="D102" s="22"/>
      <c r="E102" s="23"/>
      <c r="F102" s="36">
        <f>ROUND(C102/182*0.56,2)</f>
        <v>0.44</v>
      </c>
    </row>
    <row r="103" spans="2:6" ht="13.5" thickBot="1">
      <c r="B103" s="31" t="s">
        <v>28</v>
      </c>
      <c r="C103" s="32">
        <f>ROUND(130*1650/1000,0)</f>
        <v>215</v>
      </c>
      <c r="D103" s="25"/>
      <c r="E103" s="26"/>
      <c r="F103" s="37">
        <f>ROUND(C103/183*0.44,2)</f>
        <v>0.52</v>
      </c>
    </row>
    <row r="104" ht="13.5" thickBot="1"/>
    <row r="105" spans="2:6" ht="12.75">
      <c r="B105" s="29" t="s">
        <v>22</v>
      </c>
      <c r="C105" s="30">
        <f>ROUND(180*1100/1000,0)</f>
        <v>198</v>
      </c>
      <c r="D105" s="22"/>
      <c r="E105" s="23"/>
      <c r="F105" s="36">
        <f>ROUND(C105/182*0.56,2)</f>
        <v>0.61</v>
      </c>
    </row>
    <row r="106" spans="2:6" ht="13.5" thickBot="1">
      <c r="B106" s="31" t="s">
        <v>28</v>
      </c>
      <c r="C106" s="32">
        <f>ROUND(180*1650/1000,0)</f>
        <v>297</v>
      </c>
      <c r="D106" s="25"/>
      <c r="E106" s="26"/>
      <c r="F106" s="37">
        <f>ROUND(C106/183*0.44,2)</f>
        <v>0.71</v>
      </c>
    </row>
    <row r="107" ht="13.5" thickBot="1"/>
    <row r="108" spans="2:6" ht="12.75">
      <c r="B108" s="29" t="s">
        <v>46</v>
      </c>
      <c r="C108" s="30">
        <f>ROUND(210*1100/1000,0)</f>
        <v>231</v>
      </c>
      <c r="D108" s="22"/>
      <c r="E108" s="23"/>
      <c r="F108" s="36">
        <f>ROUND(C108/182*0.56,2)</f>
        <v>0.71</v>
      </c>
    </row>
    <row r="109" spans="2:6" ht="13.5" thickBot="1">
      <c r="B109" s="31" t="s">
        <v>28</v>
      </c>
      <c r="C109" s="32">
        <f>ROUND(210*1650/1000,0)</f>
        <v>347</v>
      </c>
      <c r="D109" s="25"/>
      <c r="E109" s="26"/>
      <c r="F109" s="37">
        <f>ROUND(C109/183*0.44,2)</f>
        <v>0.83</v>
      </c>
    </row>
    <row r="110" ht="13.5" thickBot="1"/>
    <row r="111" spans="2:6" ht="12.75">
      <c r="B111" s="27" t="s">
        <v>23</v>
      </c>
      <c r="C111" s="30">
        <f>ROUND(68*1100/1000,0)</f>
        <v>75</v>
      </c>
      <c r="D111" s="22"/>
      <c r="E111" s="23"/>
      <c r="F111" s="36">
        <f>ROUND(C111/182*0.56,2)</f>
        <v>0.23</v>
      </c>
    </row>
    <row r="112" spans="2:6" ht="13.5" thickBot="1">
      <c r="B112" s="31" t="s">
        <v>28</v>
      </c>
      <c r="C112" s="32">
        <f>ROUND(68*1650/1000,0)</f>
        <v>112</v>
      </c>
      <c r="D112" s="25"/>
      <c r="E112" s="26"/>
      <c r="F112" s="37">
        <f>ROUND(C112/183*0.44,2)</f>
        <v>0.27</v>
      </c>
    </row>
    <row r="113" ht="13.5" thickBot="1"/>
    <row r="114" spans="2:6" ht="12.75">
      <c r="B114" s="27" t="s">
        <v>24</v>
      </c>
      <c r="C114" s="30">
        <f>ROUND(135*1100/1000,0)</f>
        <v>149</v>
      </c>
      <c r="D114" s="22"/>
      <c r="E114" s="23"/>
      <c r="F114" s="36">
        <f>ROUND(C114/182*0.56,2)</f>
        <v>0.46</v>
      </c>
    </row>
    <row r="115" spans="2:6" ht="13.5" thickBot="1">
      <c r="B115" s="31" t="s">
        <v>28</v>
      </c>
      <c r="C115" s="32">
        <f>ROUND(135*1650/1000,0)</f>
        <v>223</v>
      </c>
      <c r="D115" s="25"/>
      <c r="E115" s="26"/>
      <c r="F115" s="37">
        <f>ROUND(C115/183*0.44,2)</f>
        <v>0.54</v>
      </c>
    </row>
    <row r="116" ht="13.5" thickBot="1"/>
    <row r="117" spans="2:6" ht="12.75">
      <c r="B117" s="27" t="s">
        <v>25</v>
      </c>
      <c r="C117" s="30">
        <f>ROUND(150*1100/1000,0)</f>
        <v>165</v>
      </c>
      <c r="D117" s="22"/>
      <c r="E117" s="23"/>
      <c r="F117" s="36">
        <f>ROUND(C117/182*0.56,2)</f>
        <v>0.51</v>
      </c>
    </row>
    <row r="118" spans="2:6" ht="13.5" thickBot="1">
      <c r="B118" s="31" t="s">
        <v>28</v>
      </c>
      <c r="C118" s="32">
        <f>ROUND(150*1650/1000,0)</f>
        <v>248</v>
      </c>
      <c r="D118" s="25"/>
      <c r="E118" s="26"/>
      <c r="F118" s="37">
        <f>ROUND(C118/183*0.44,2)</f>
        <v>0.6</v>
      </c>
    </row>
    <row r="119" ht="13.5" thickBot="1"/>
    <row r="120" spans="2:6" ht="12.75">
      <c r="B120" s="27" t="s">
        <v>26</v>
      </c>
      <c r="C120" s="30">
        <f>ROUND(260*1100/1000,0)</f>
        <v>286</v>
      </c>
      <c r="D120" s="22"/>
      <c r="E120" s="23"/>
      <c r="F120" s="36">
        <f>ROUND(C120/182*0.56,2)</f>
        <v>0.88</v>
      </c>
    </row>
    <row r="121" spans="2:6" ht="13.5" thickBot="1">
      <c r="B121" s="31" t="s">
        <v>28</v>
      </c>
      <c r="C121" s="32">
        <f>ROUND(260*1650/1000,0)</f>
        <v>429</v>
      </c>
      <c r="D121" s="25"/>
      <c r="E121" s="26"/>
      <c r="F121" s="37">
        <f>ROUND(C121/183*0.44,2)</f>
        <v>1.03</v>
      </c>
    </row>
    <row r="122" ht="13.5" thickBot="1"/>
    <row r="123" spans="2:6" ht="12.75">
      <c r="B123" s="60" t="s">
        <v>27</v>
      </c>
      <c r="C123" s="30">
        <f>ROUND(50*1100/1000,0)</f>
        <v>55</v>
      </c>
      <c r="D123" s="22"/>
      <c r="E123" s="23"/>
      <c r="F123" s="36">
        <f>ROUND(C123/182*0.56,2)</f>
        <v>0.17</v>
      </c>
    </row>
    <row r="124" spans="2:6" ht="13.5" thickBot="1">
      <c r="B124" s="31" t="s">
        <v>28</v>
      </c>
      <c r="C124" s="32">
        <f>ROUND(50*1650/1000,0)</f>
        <v>83</v>
      </c>
      <c r="D124" s="25"/>
      <c r="E124" s="26"/>
      <c r="F124" s="37">
        <f>ROUND(C124/183*0.44,2)</f>
        <v>0.2</v>
      </c>
    </row>
    <row r="125" ht="13.5" thickBot="1"/>
    <row r="126" spans="2:6" ht="12.75">
      <c r="B126" s="60" t="s">
        <v>29</v>
      </c>
      <c r="C126" s="30">
        <f>ROUND(85*1100/1000,0)</f>
        <v>94</v>
      </c>
      <c r="D126" s="22"/>
      <c r="E126" s="23"/>
      <c r="F126" s="36">
        <f>ROUND(C126/182*0.56,2)</f>
        <v>0.29</v>
      </c>
    </row>
    <row r="127" spans="2:6" ht="13.5" thickBot="1">
      <c r="B127" s="31" t="s">
        <v>28</v>
      </c>
      <c r="C127" s="32">
        <f>ROUND(85*1650/1000,0)</f>
        <v>140</v>
      </c>
      <c r="D127" s="25"/>
      <c r="E127" s="26"/>
      <c r="F127" s="37">
        <f>ROUND(C127/183*0.44,2)</f>
        <v>0.34</v>
      </c>
    </row>
    <row r="128" ht="13.5" thickBot="1"/>
    <row r="129" spans="2:6" ht="12.75">
      <c r="B129" s="60" t="s">
        <v>30</v>
      </c>
      <c r="C129" s="30">
        <f>ROUND(165*1100/1000,0)</f>
        <v>182</v>
      </c>
      <c r="D129" s="22"/>
      <c r="E129" s="23"/>
      <c r="F129" s="36">
        <f>ROUND(C129/182*0.56,2)</f>
        <v>0.56</v>
      </c>
    </row>
    <row r="130" spans="2:6" ht="13.5" thickBot="1">
      <c r="B130" s="31" t="s">
        <v>28</v>
      </c>
      <c r="C130" s="32">
        <f>ROUND(165*1650/1000,0)</f>
        <v>272</v>
      </c>
      <c r="D130" s="25"/>
      <c r="E130" s="26"/>
      <c r="F130" s="37">
        <f>ROUND(C130/183*0.44,2)</f>
        <v>0.65</v>
      </c>
    </row>
    <row r="131" ht="13.5" thickBot="1"/>
    <row r="132" spans="2:6" ht="12.75">
      <c r="B132" s="60" t="s">
        <v>31</v>
      </c>
      <c r="C132" s="30">
        <f>ROUND(165*1100/1000,0)</f>
        <v>182</v>
      </c>
      <c r="D132" s="22"/>
      <c r="E132" s="23"/>
      <c r="F132" s="36">
        <f>ROUND(C132/182*0.56,2)</f>
        <v>0.56</v>
      </c>
    </row>
    <row r="133" spans="2:6" ht="13.5" thickBot="1">
      <c r="B133" s="31" t="s">
        <v>28</v>
      </c>
      <c r="C133" s="32">
        <f>ROUND(165*1650/1000,0)</f>
        <v>272</v>
      </c>
      <c r="D133" s="25"/>
      <c r="E133" s="26"/>
      <c r="F133" s="37">
        <f>ROUND(C133/183*0.44,2)</f>
        <v>0.65</v>
      </c>
    </row>
    <row r="134" ht="13.5" thickBot="1"/>
    <row r="135" spans="2:6" ht="12.75">
      <c r="B135" s="60" t="s">
        <v>45</v>
      </c>
      <c r="C135" s="30">
        <f>ROUND(235*1100/1000,0)</f>
        <v>259</v>
      </c>
      <c r="D135" s="22"/>
      <c r="E135" s="23"/>
      <c r="F135" s="36">
        <f>ROUND(C135/182*0.56,2)</f>
        <v>0.8</v>
      </c>
    </row>
    <row r="136" spans="2:6" ht="13.5" thickBot="1">
      <c r="B136" s="31" t="s">
        <v>28</v>
      </c>
      <c r="C136" s="32">
        <f>ROUND(235*1650/1000,0)</f>
        <v>388</v>
      </c>
      <c r="D136" s="25"/>
      <c r="E136" s="26"/>
      <c r="F136" s="37">
        <f>ROUND(C136/183*0.44,2)</f>
        <v>0.93</v>
      </c>
    </row>
    <row r="137" ht="13.5" thickBot="1"/>
    <row r="138" spans="2:6" ht="12.75">
      <c r="B138" s="61" t="s">
        <v>32</v>
      </c>
      <c r="C138" s="30">
        <f>ROUND(150*1100/1000,0)</f>
        <v>165</v>
      </c>
      <c r="D138" s="22"/>
      <c r="E138" s="23"/>
      <c r="F138" s="36">
        <f>ROUND(C138/182*0.56,2)</f>
        <v>0.51</v>
      </c>
    </row>
    <row r="139" spans="2:6" ht="13.5" thickBot="1">
      <c r="B139" s="31" t="s">
        <v>28</v>
      </c>
      <c r="C139" s="32">
        <f>ROUND(150*1650/1000,0)</f>
        <v>248</v>
      </c>
      <c r="D139" s="25"/>
      <c r="E139" s="26"/>
      <c r="F139" s="37">
        <f>ROUND(C139/183*0.44,2)</f>
        <v>0.6</v>
      </c>
    </row>
    <row r="140" ht="13.5" thickBot="1"/>
    <row r="141" spans="2:6" ht="12.75">
      <c r="B141" s="61" t="s">
        <v>33</v>
      </c>
      <c r="C141" s="30">
        <f>ROUND(180*1100/1000,0)</f>
        <v>198</v>
      </c>
      <c r="D141" s="22"/>
      <c r="E141" s="23"/>
      <c r="F141" s="36">
        <f>ROUND(C141/182*0.56,2)</f>
        <v>0.61</v>
      </c>
    </row>
    <row r="142" spans="2:6" ht="13.5" thickBot="1">
      <c r="B142" s="31" t="s">
        <v>28</v>
      </c>
      <c r="C142" s="32">
        <f>ROUND(180*1650/1000,0)</f>
        <v>297</v>
      </c>
      <c r="D142" s="25"/>
      <c r="E142" s="26"/>
      <c r="F142" s="37">
        <f>ROUND(C142/183*0.44,2)</f>
        <v>0.71</v>
      </c>
    </row>
    <row r="143" ht="13.5" thickBot="1"/>
    <row r="144" spans="2:6" ht="12.75">
      <c r="B144" s="61" t="s">
        <v>47</v>
      </c>
      <c r="C144" s="30">
        <f>ROUND(225*1100/1000,0)</f>
        <v>248</v>
      </c>
      <c r="D144" s="22"/>
      <c r="E144" s="23"/>
      <c r="F144" s="36">
        <f>ROUND(C144/182*0.56,2)</f>
        <v>0.76</v>
      </c>
    </row>
    <row r="145" spans="2:6" ht="13.5" thickBot="1">
      <c r="B145" s="31" t="s">
        <v>28</v>
      </c>
      <c r="C145" s="32">
        <f>ROUND(225*1650/1000,0)</f>
        <v>371</v>
      </c>
      <c r="D145" s="25"/>
      <c r="E145" s="26"/>
      <c r="F145" s="37">
        <f>ROUND(C145/183*0.44,2)</f>
        <v>0.89</v>
      </c>
    </row>
    <row r="199" spans="1:6" ht="12.75">
      <c r="A199" s="65" t="s">
        <v>112</v>
      </c>
      <c r="B199" s="65"/>
      <c r="C199" s="65"/>
      <c r="D199" s="65"/>
      <c r="E199" s="65"/>
      <c r="F199" s="66"/>
    </row>
    <row r="200" spans="1:2" ht="12.75">
      <c r="A200" s="40" t="s">
        <v>83</v>
      </c>
      <c r="B200" t="s">
        <v>81</v>
      </c>
    </row>
    <row r="201" ht="12.75">
      <c r="B201" t="s">
        <v>89</v>
      </c>
    </row>
    <row r="202" spans="2:6" ht="12.75">
      <c r="B202" t="s">
        <v>91</v>
      </c>
      <c r="C202" s="1"/>
      <c r="D202" s="1"/>
      <c r="E202" s="1"/>
      <c r="F202" s="34"/>
    </row>
    <row r="203" spans="2:6" ht="12.75">
      <c r="B203" t="s">
        <v>95</v>
      </c>
      <c r="C203" s="1"/>
      <c r="D203" s="1"/>
      <c r="E203" s="1"/>
      <c r="F203" s="34"/>
    </row>
    <row r="204" spans="3:6" ht="13.5" thickBot="1">
      <c r="C204" s="18" t="s">
        <v>80</v>
      </c>
      <c r="F204" s="35" t="s">
        <v>9</v>
      </c>
    </row>
    <row r="205" spans="2:6" ht="12.75">
      <c r="B205" s="21" t="s">
        <v>48</v>
      </c>
      <c r="C205" s="22">
        <v>628</v>
      </c>
      <c r="D205" s="23"/>
      <c r="E205" s="23"/>
      <c r="F205" s="36">
        <f>ROUND(C205/182*0.7,2)</f>
        <v>2.42</v>
      </c>
    </row>
    <row r="206" spans="2:6" ht="13.5" thickBot="1">
      <c r="B206" s="24" t="s">
        <v>49</v>
      </c>
      <c r="C206" s="25">
        <v>3442</v>
      </c>
      <c r="D206" s="26"/>
      <c r="E206" s="26"/>
      <c r="F206" s="37">
        <f>ROUND(C206/183*0.3,2)</f>
        <v>5.64</v>
      </c>
    </row>
    <row r="207" spans="2:6" ht="13.5" thickBot="1">
      <c r="B207" s="20"/>
      <c r="C207" s="8"/>
      <c r="D207" s="20"/>
      <c r="E207" s="20"/>
      <c r="F207" s="38"/>
    </row>
    <row r="208" spans="2:6" ht="12.75">
      <c r="B208" s="21" t="s">
        <v>50</v>
      </c>
      <c r="C208" s="22">
        <v>837</v>
      </c>
      <c r="D208" s="23"/>
      <c r="E208" s="23"/>
      <c r="F208" s="36">
        <f>ROUND(C208/182*0.7,2)</f>
        <v>3.22</v>
      </c>
    </row>
    <row r="209" spans="2:6" ht="13.5" thickBot="1">
      <c r="B209" s="24" t="s">
        <v>51</v>
      </c>
      <c r="C209" s="25">
        <v>4425</v>
      </c>
      <c r="D209" s="26"/>
      <c r="E209" s="26"/>
      <c r="F209" s="37">
        <f>ROUND(C209/183*0.3,2)</f>
        <v>7.25</v>
      </c>
    </row>
    <row r="210" spans="2:6" ht="13.5" thickBot="1">
      <c r="B210" s="20"/>
      <c r="C210" s="8"/>
      <c r="D210" s="20"/>
      <c r="E210" s="20"/>
      <c r="F210" s="38"/>
    </row>
    <row r="211" spans="2:6" ht="12.75">
      <c r="B211" s="21" t="s">
        <v>52</v>
      </c>
      <c r="C211" s="22">
        <v>1183</v>
      </c>
      <c r="D211" s="23"/>
      <c r="E211" s="23"/>
      <c r="F211" s="36">
        <f>ROUND(C211/182*0.7,2)</f>
        <v>4.55</v>
      </c>
    </row>
    <row r="212" spans="2:6" ht="13.5" thickBot="1">
      <c r="B212" s="24" t="s">
        <v>53</v>
      </c>
      <c r="C212" s="25">
        <v>5958</v>
      </c>
      <c r="D212" s="26"/>
      <c r="E212" s="26"/>
      <c r="F212" s="37">
        <f>ROUND(C212/183*0.3,2)</f>
        <v>9.77</v>
      </c>
    </row>
    <row r="213" spans="2:6" ht="13.5" thickBot="1">
      <c r="B213" s="20"/>
      <c r="C213" s="8"/>
      <c r="D213" s="20"/>
      <c r="E213" s="20"/>
      <c r="F213" s="38"/>
    </row>
    <row r="214" spans="2:6" ht="12.75">
      <c r="B214" s="21" t="s">
        <v>54</v>
      </c>
      <c r="C214" s="22">
        <v>1535</v>
      </c>
      <c r="D214" s="23"/>
      <c r="E214" s="23"/>
      <c r="F214" s="36">
        <f>ROUND(C214/182*0.7,2)</f>
        <v>5.9</v>
      </c>
    </row>
    <row r="215" spans="2:6" ht="13.5" thickBot="1">
      <c r="B215" s="24" t="s">
        <v>55</v>
      </c>
      <c r="C215" s="25">
        <v>7265</v>
      </c>
      <c r="D215" s="26"/>
      <c r="E215" s="26"/>
      <c r="F215" s="37">
        <f>ROUND(C215/183*0.3,2)</f>
        <v>11.91</v>
      </c>
    </row>
    <row r="216" spans="2:6" ht="12.75">
      <c r="B216" s="20"/>
      <c r="C216" s="19"/>
      <c r="D216" s="12"/>
      <c r="E216" s="12"/>
      <c r="F216" s="34"/>
    </row>
    <row r="217" spans="1:6" ht="12.75">
      <c r="A217" s="40" t="s">
        <v>82</v>
      </c>
      <c r="B217" t="s">
        <v>84</v>
      </c>
      <c r="C217" s="19"/>
      <c r="D217" s="12"/>
      <c r="E217" s="12"/>
      <c r="F217" s="34"/>
    </row>
    <row r="218" spans="2:6" ht="12.75">
      <c r="B218" t="s">
        <v>89</v>
      </c>
      <c r="C218" s="19"/>
      <c r="D218" s="12"/>
      <c r="E218" s="12"/>
      <c r="F218" s="34"/>
    </row>
    <row r="219" spans="2:6" ht="12.75">
      <c r="B219" t="s">
        <v>91</v>
      </c>
      <c r="C219" s="19"/>
      <c r="D219" s="12"/>
      <c r="E219" s="12"/>
      <c r="F219" s="34"/>
    </row>
    <row r="220" spans="2:6" ht="12.75">
      <c r="B220" t="s">
        <v>90</v>
      </c>
      <c r="C220" s="19"/>
      <c r="D220" s="12"/>
      <c r="E220" s="12"/>
      <c r="F220" s="34"/>
    </row>
    <row r="221" spans="2:6" ht="13.5" thickBot="1">
      <c r="B221" s="20"/>
      <c r="C221" s="18" t="s">
        <v>80</v>
      </c>
      <c r="F221" s="35" t="s">
        <v>9</v>
      </c>
    </row>
    <row r="222" spans="2:6" ht="12.75">
      <c r="B222" s="27" t="s">
        <v>56</v>
      </c>
      <c r="C222" s="22">
        <v>628</v>
      </c>
      <c r="D222" s="23"/>
      <c r="E222" s="23"/>
      <c r="F222" s="36">
        <f>ROUND(C222/182*0.7,2)</f>
        <v>2.42</v>
      </c>
    </row>
    <row r="223" spans="2:6" ht="13.5" thickBot="1">
      <c r="B223" s="28" t="s">
        <v>57</v>
      </c>
      <c r="C223" s="25">
        <v>2504</v>
      </c>
      <c r="D223" s="26"/>
      <c r="E223" s="26"/>
      <c r="F223" s="37">
        <f>ROUND(C223/183*0.3,2)</f>
        <v>4.1</v>
      </c>
    </row>
    <row r="224" spans="2:6" ht="13.5" thickBot="1">
      <c r="B224" s="20"/>
      <c r="C224" s="8"/>
      <c r="D224" s="20"/>
      <c r="E224" s="20"/>
      <c r="F224" s="38"/>
    </row>
    <row r="225" spans="2:6" ht="12.75">
      <c r="B225" s="27" t="s">
        <v>58</v>
      </c>
      <c r="C225" s="22">
        <v>837</v>
      </c>
      <c r="D225" s="23"/>
      <c r="E225" s="23"/>
      <c r="F225" s="36">
        <f>ROUND(C225/182*0.7,2)</f>
        <v>3.22</v>
      </c>
    </row>
    <row r="226" spans="2:6" ht="13.5" thickBot="1">
      <c r="B226" s="28" t="s">
        <v>59</v>
      </c>
      <c r="C226" s="25">
        <v>3220</v>
      </c>
      <c r="D226" s="26"/>
      <c r="E226" s="26"/>
      <c r="F226" s="37">
        <f>ROUND(C226/183*0.3,2)</f>
        <v>5.28</v>
      </c>
    </row>
    <row r="227" spans="2:6" ht="13.5" thickBot="1">
      <c r="B227" s="20"/>
      <c r="C227" s="8"/>
      <c r="D227" s="20"/>
      <c r="E227" s="20"/>
      <c r="F227" s="38"/>
    </row>
    <row r="228" spans="2:6" ht="12.75">
      <c r="B228" s="27" t="s">
        <v>60</v>
      </c>
      <c r="C228" s="22">
        <v>1183</v>
      </c>
      <c r="D228" s="23"/>
      <c r="E228" s="23"/>
      <c r="F228" s="36">
        <f>ROUND(C228/182*0.7,2)</f>
        <v>4.55</v>
      </c>
    </row>
    <row r="229" spans="2:6" ht="13.5" thickBot="1">
      <c r="B229" s="28" t="s">
        <v>61</v>
      </c>
      <c r="C229" s="25">
        <v>4353</v>
      </c>
      <c r="D229" s="26"/>
      <c r="E229" s="26"/>
      <c r="F229" s="37">
        <f>ROUND(C229/183*0.3,2)</f>
        <v>7.14</v>
      </c>
    </row>
    <row r="230" spans="2:6" ht="13.5" thickBot="1">
      <c r="B230" s="20"/>
      <c r="C230" s="8"/>
      <c r="D230" s="20"/>
      <c r="E230" s="20"/>
      <c r="F230" s="38"/>
    </row>
    <row r="231" spans="2:6" ht="12.75">
      <c r="B231" s="27" t="s">
        <v>62</v>
      </c>
      <c r="C231" s="22">
        <v>1535</v>
      </c>
      <c r="D231" s="23"/>
      <c r="E231" s="23"/>
      <c r="F231" s="36">
        <f>ROUND(C231/182*0.7,2)</f>
        <v>5.9</v>
      </c>
    </row>
    <row r="232" spans="2:6" ht="13.5" thickBot="1">
      <c r="B232" s="28" t="s">
        <v>63</v>
      </c>
      <c r="C232" s="25">
        <v>5331</v>
      </c>
      <c r="D232" s="26"/>
      <c r="E232" s="26"/>
      <c r="F232" s="37">
        <f>ROUND(C232/183*0.3,2)</f>
        <v>8.74</v>
      </c>
    </row>
    <row r="233" spans="2:6" ht="12.75">
      <c r="B233" s="12"/>
      <c r="C233" s="8"/>
      <c r="D233" s="8"/>
      <c r="E233" s="8"/>
      <c r="F233" s="38"/>
    </row>
    <row r="234" spans="1:6" ht="12.75">
      <c r="A234" s="40" t="s">
        <v>85</v>
      </c>
      <c r="B234" s="62" t="s">
        <v>87</v>
      </c>
      <c r="C234" s="8"/>
      <c r="D234" s="8"/>
      <c r="E234" s="8"/>
      <c r="F234" s="38"/>
    </row>
    <row r="235" spans="2:6" ht="12.75">
      <c r="B235" t="s">
        <v>88</v>
      </c>
      <c r="C235" s="8"/>
      <c r="D235" s="8"/>
      <c r="E235" s="8"/>
      <c r="F235" s="38"/>
    </row>
    <row r="236" spans="2:6" ht="12.75">
      <c r="B236" s="62" t="s">
        <v>96</v>
      </c>
      <c r="C236" s="8"/>
      <c r="D236" s="8"/>
      <c r="E236" s="8"/>
      <c r="F236" s="38"/>
    </row>
    <row r="237" spans="2:6" ht="13.5" thickBot="1">
      <c r="B237" s="12"/>
      <c r="C237" s="18" t="s">
        <v>80</v>
      </c>
      <c r="F237" s="35" t="s">
        <v>9</v>
      </c>
    </row>
    <row r="238" spans="2:6" ht="12.75">
      <c r="B238" s="29" t="s">
        <v>64</v>
      </c>
      <c r="C238" s="30">
        <f>ROUND(50*1100/1000,0)</f>
        <v>55</v>
      </c>
      <c r="D238" s="22"/>
      <c r="E238" s="23"/>
      <c r="F238" s="36">
        <f>ROUND(C238/182*0.7,2)</f>
        <v>0.21</v>
      </c>
    </row>
    <row r="239" spans="2:6" ht="13.5" thickBot="1">
      <c r="B239" s="31" t="s">
        <v>19</v>
      </c>
      <c r="C239" s="32">
        <f>ROUND(2050*1650/1000,0)</f>
        <v>3383</v>
      </c>
      <c r="D239" s="25"/>
      <c r="E239" s="26"/>
      <c r="F239" s="37">
        <f>ROUND(C239/183*0.3,2)</f>
        <v>5.55</v>
      </c>
    </row>
    <row r="240" spans="2:6" ht="13.5" thickBot="1">
      <c r="B240" s="20"/>
      <c r="C240" s="8"/>
      <c r="D240" s="20"/>
      <c r="E240" s="20"/>
      <c r="F240" s="38"/>
    </row>
    <row r="241" spans="2:6" ht="12.75">
      <c r="B241" s="29" t="s">
        <v>20</v>
      </c>
      <c r="C241" s="30">
        <f>ROUND(80*1100/1000,0)</f>
        <v>88</v>
      </c>
      <c r="D241" s="22"/>
      <c r="E241" s="23"/>
      <c r="F241" s="36">
        <f>ROUND(C241/182*0.7,2)</f>
        <v>0.34</v>
      </c>
    </row>
    <row r="242" spans="2:6" ht="13.5" thickBot="1">
      <c r="B242" s="31" t="s">
        <v>19</v>
      </c>
      <c r="C242" s="32">
        <f>ROUND(2080*1650/1000,0)</f>
        <v>3432</v>
      </c>
      <c r="D242" s="25"/>
      <c r="E242" s="26"/>
      <c r="F242" s="37">
        <f>ROUND(C242/183*0.3,2)</f>
        <v>5.63</v>
      </c>
    </row>
    <row r="243" spans="2:6" ht="13.5" thickBot="1">
      <c r="B243" s="20"/>
      <c r="C243" s="8"/>
      <c r="D243" s="20"/>
      <c r="E243" s="20"/>
      <c r="F243" s="38"/>
    </row>
    <row r="244" spans="2:6" ht="12.75">
      <c r="B244" s="29" t="s">
        <v>21</v>
      </c>
      <c r="C244" s="30">
        <f>ROUND(130*1100/1000,0)</f>
        <v>143</v>
      </c>
      <c r="D244" s="22"/>
      <c r="E244" s="23"/>
      <c r="F244" s="36">
        <f>ROUND(C244/182*0.7,2)</f>
        <v>0.55</v>
      </c>
    </row>
    <row r="245" spans="2:6" ht="13.5" thickBot="1">
      <c r="B245" s="31" t="s">
        <v>19</v>
      </c>
      <c r="C245" s="32">
        <f>ROUND(2130*1650/1000,0)</f>
        <v>3515</v>
      </c>
      <c r="D245" s="25"/>
      <c r="E245" s="26"/>
      <c r="F245" s="37">
        <f>ROUND(C245/183*0.3,2)</f>
        <v>5.76</v>
      </c>
    </row>
    <row r="246" spans="2:6" ht="13.5" thickBot="1">
      <c r="B246" s="20"/>
      <c r="C246" s="8"/>
      <c r="D246" s="20"/>
      <c r="E246" s="20"/>
      <c r="F246" s="38"/>
    </row>
    <row r="247" spans="2:6" ht="12.75">
      <c r="B247" s="29" t="s">
        <v>22</v>
      </c>
      <c r="C247" s="30">
        <f>ROUND(180*1100/1000,0)</f>
        <v>198</v>
      </c>
      <c r="D247" s="22"/>
      <c r="E247" s="23"/>
      <c r="F247" s="36">
        <f>ROUND(C247/182*0.7,2)</f>
        <v>0.76</v>
      </c>
    </row>
    <row r="248" spans="2:6" ht="13.5" thickBot="1">
      <c r="B248" s="31" t="s">
        <v>19</v>
      </c>
      <c r="C248" s="32">
        <f>ROUND(2180*1650/1000,0)</f>
        <v>3597</v>
      </c>
      <c r="D248" s="25"/>
      <c r="E248" s="26"/>
      <c r="F248" s="37">
        <f>ROUND(C248/183*0.3,2)</f>
        <v>5.9</v>
      </c>
    </row>
    <row r="249" spans="2:6" ht="13.5" thickBot="1">
      <c r="B249" s="20"/>
      <c r="C249" s="8"/>
      <c r="D249" s="20"/>
      <c r="E249" s="20"/>
      <c r="F249" s="38"/>
    </row>
    <row r="250" spans="2:6" ht="12.75">
      <c r="B250" s="29" t="s">
        <v>46</v>
      </c>
      <c r="C250" s="30">
        <f>ROUND(210*1100/1000,0)</f>
        <v>231</v>
      </c>
      <c r="D250" s="22"/>
      <c r="E250" s="23"/>
      <c r="F250" s="36">
        <f>ROUND(C250/182*0.7,2)</f>
        <v>0.89</v>
      </c>
    </row>
    <row r="251" spans="2:6" ht="13.5" thickBot="1">
      <c r="B251" s="31" t="s">
        <v>19</v>
      </c>
      <c r="C251" s="32">
        <f>ROUND(2210*1650/1000,0)</f>
        <v>3647</v>
      </c>
      <c r="D251" s="25"/>
      <c r="E251" s="26"/>
      <c r="F251" s="37">
        <f>ROUND(C251/183*0.3,2)</f>
        <v>5.98</v>
      </c>
    </row>
    <row r="252" spans="2:6" ht="13.5" thickBot="1">
      <c r="B252" s="20"/>
      <c r="C252" s="8"/>
      <c r="D252" s="20"/>
      <c r="E252" s="20"/>
      <c r="F252" s="38"/>
    </row>
    <row r="253" spans="2:6" ht="12.75">
      <c r="B253" s="27" t="s">
        <v>23</v>
      </c>
      <c r="C253" s="30">
        <f>ROUND(68*1100/1000,0)</f>
        <v>75</v>
      </c>
      <c r="D253" s="22"/>
      <c r="E253" s="23"/>
      <c r="F253" s="36">
        <f>ROUND(C253/182*0.7,2)</f>
        <v>0.29</v>
      </c>
    </row>
    <row r="254" spans="2:6" ht="13.5" thickBot="1">
      <c r="B254" s="31" t="s">
        <v>19</v>
      </c>
      <c r="C254" s="32">
        <f>ROUND(2068*1650/1000,0)</f>
        <v>3412</v>
      </c>
      <c r="D254" s="25"/>
      <c r="E254" s="26"/>
      <c r="F254" s="37">
        <f>ROUND(C254/183*0.3,2)</f>
        <v>5.59</v>
      </c>
    </row>
    <row r="255" spans="2:6" ht="13.5" thickBot="1">
      <c r="B255" s="20"/>
      <c r="C255" s="8"/>
      <c r="D255" s="20"/>
      <c r="E255" s="20"/>
      <c r="F255" s="38"/>
    </row>
    <row r="256" spans="2:6" ht="12.75">
      <c r="B256" s="27" t="s">
        <v>24</v>
      </c>
      <c r="C256" s="30">
        <f>ROUND(135*1100/1000,0)</f>
        <v>149</v>
      </c>
      <c r="D256" s="22"/>
      <c r="E256" s="23"/>
      <c r="F256" s="36">
        <f>ROUND(C256/182*0.7,2)</f>
        <v>0.57</v>
      </c>
    </row>
    <row r="257" spans="2:6" ht="13.5" thickBot="1">
      <c r="B257" s="31" t="s">
        <v>19</v>
      </c>
      <c r="C257" s="32">
        <f>ROUND(2135*1650/1000,0)</f>
        <v>3523</v>
      </c>
      <c r="D257" s="25"/>
      <c r="E257" s="26"/>
      <c r="F257" s="37">
        <f>ROUND(C257/183*0.3,2)</f>
        <v>5.78</v>
      </c>
    </row>
    <row r="258" spans="2:6" ht="13.5" thickBot="1">
      <c r="B258" s="20"/>
      <c r="C258" s="8"/>
      <c r="D258" s="20"/>
      <c r="E258" s="20"/>
      <c r="F258" s="38"/>
    </row>
    <row r="259" spans="2:6" ht="12.75">
      <c r="B259" s="27" t="s">
        <v>25</v>
      </c>
      <c r="C259" s="30">
        <f>ROUND(150*1100/1000,0)</f>
        <v>165</v>
      </c>
      <c r="D259" s="22"/>
      <c r="E259" s="23"/>
      <c r="F259" s="36">
        <f>ROUND(C259/182*0.7,2)</f>
        <v>0.63</v>
      </c>
    </row>
    <row r="260" spans="2:6" ht="13.5" thickBot="1">
      <c r="B260" s="31" t="s">
        <v>19</v>
      </c>
      <c r="C260" s="32">
        <f>ROUND(2150*1650/1000,0)</f>
        <v>3548</v>
      </c>
      <c r="D260" s="25"/>
      <c r="E260" s="26"/>
      <c r="F260" s="37">
        <f>ROUND(C260/183*0.3,2)</f>
        <v>5.82</v>
      </c>
    </row>
    <row r="261" spans="2:6" ht="13.5" thickBot="1">
      <c r="B261" s="20"/>
      <c r="C261" s="8"/>
      <c r="D261" s="20"/>
      <c r="E261" s="20"/>
      <c r="F261" s="38"/>
    </row>
    <row r="262" spans="2:6" ht="12.75">
      <c r="B262" s="27" t="s">
        <v>26</v>
      </c>
      <c r="C262" s="30">
        <f>ROUND(260*1100/1000,0)</f>
        <v>286</v>
      </c>
      <c r="D262" s="22"/>
      <c r="E262" s="23"/>
      <c r="F262" s="36">
        <f>ROUND(C262/182*0.7,2)</f>
        <v>1.1</v>
      </c>
    </row>
    <row r="263" spans="2:6" ht="13.5" thickBot="1">
      <c r="B263" s="31" t="s">
        <v>19</v>
      </c>
      <c r="C263" s="32">
        <f>ROUND(2260*1650/1000,0)</f>
        <v>3729</v>
      </c>
      <c r="D263" s="25"/>
      <c r="E263" s="26"/>
      <c r="F263" s="37">
        <f>ROUND(C263/183*0.3,2)</f>
        <v>6.11</v>
      </c>
    </row>
    <row r="264" spans="2:6" ht="13.5" thickBot="1">
      <c r="B264" s="20"/>
      <c r="C264" s="8"/>
      <c r="D264" s="20"/>
      <c r="E264" s="20"/>
      <c r="F264" s="38"/>
    </row>
    <row r="265" spans="2:6" ht="12.75">
      <c r="B265" s="60" t="s">
        <v>27</v>
      </c>
      <c r="C265" s="30">
        <f>ROUND(50*1100/1000,0)</f>
        <v>55</v>
      </c>
      <c r="D265" s="22"/>
      <c r="E265" s="23"/>
      <c r="F265" s="36">
        <f>ROUND(C265/182*0.7,2)</f>
        <v>0.21</v>
      </c>
    </row>
    <row r="266" spans="2:6" ht="13.5" thickBot="1">
      <c r="B266" s="31" t="s">
        <v>19</v>
      </c>
      <c r="C266" s="32">
        <f>ROUND(2050*1650/1000,0)</f>
        <v>3383</v>
      </c>
      <c r="D266" s="25"/>
      <c r="E266" s="26"/>
      <c r="F266" s="37">
        <f>ROUND(C266/183*0.3,2)</f>
        <v>5.55</v>
      </c>
    </row>
    <row r="267" spans="2:6" ht="13.5" thickBot="1">
      <c r="B267" s="20"/>
      <c r="C267" s="8"/>
      <c r="D267" s="20"/>
      <c r="E267" s="20"/>
      <c r="F267" s="38"/>
    </row>
    <row r="268" spans="2:6" ht="12.75">
      <c r="B268" s="60" t="s">
        <v>29</v>
      </c>
      <c r="C268" s="30">
        <f>ROUND(85*1100/1000,0)</f>
        <v>94</v>
      </c>
      <c r="D268" s="22"/>
      <c r="E268" s="23"/>
      <c r="F268" s="36">
        <f>ROUND(C268/182*0.7,2)</f>
        <v>0.36</v>
      </c>
    </row>
    <row r="269" spans="2:6" ht="13.5" thickBot="1">
      <c r="B269" s="31" t="s">
        <v>19</v>
      </c>
      <c r="C269" s="32">
        <f>ROUND(2085*1650/1000,0)</f>
        <v>3440</v>
      </c>
      <c r="D269" s="25"/>
      <c r="E269" s="26"/>
      <c r="F269" s="37">
        <f>ROUND(C269/183*0.3,2)</f>
        <v>5.64</v>
      </c>
    </row>
    <row r="270" spans="2:6" ht="13.5" thickBot="1">
      <c r="B270" s="20"/>
      <c r="C270" s="8"/>
      <c r="D270" s="20"/>
      <c r="E270" s="20"/>
      <c r="F270" s="38"/>
    </row>
    <row r="271" spans="2:6" ht="12.75">
      <c r="B271" s="60" t="s">
        <v>30</v>
      </c>
      <c r="C271" s="30">
        <f>ROUND(165*1100/1000,0)</f>
        <v>182</v>
      </c>
      <c r="D271" s="22"/>
      <c r="E271" s="23"/>
      <c r="F271" s="36">
        <f>ROUND(C271/182*0.7,2)</f>
        <v>0.7</v>
      </c>
    </row>
    <row r="272" spans="2:6" ht="13.5" thickBot="1">
      <c r="B272" s="31" t="s">
        <v>19</v>
      </c>
      <c r="C272" s="32">
        <f>ROUND(2165*1650/1000,0)</f>
        <v>3572</v>
      </c>
      <c r="D272" s="25"/>
      <c r="E272" s="26"/>
      <c r="F272" s="37">
        <f>ROUND(C272/183*0.3,2)</f>
        <v>5.86</v>
      </c>
    </row>
    <row r="273" spans="2:6" ht="13.5" thickBot="1">
      <c r="B273" s="20"/>
      <c r="C273" s="8"/>
      <c r="D273" s="20"/>
      <c r="E273" s="20"/>
      <c r="F273" s="38"/>
    </row>
    <row r="274" spans="2:6" ht="12.75">
      <c r="B274" s="60" t="s">
        <v>31</v>
      </c>
      <c r="C274" s="30">
        <f>ROUND(165*1100/1000,0)</f>
        <v>182</v>
      </c>
      <c r="D274" s="22"/>
      <c r="E274" s="23"/>
      <c r="F274" s="36">
        <f>ROUND(C274/182*0.7,2)</f>
        <v>0.7</v>
      </c>
    </row>
    <row r="275" spans="2:6" ht="13.5" thickBot="1">
      <c r="B275" s="31" t="s">
        <v>19</v>
      </c>
      <c r="C275" s="32">
        <f>ROUND(2165*1650/1000,0)</f>
        <v>3572</v>
      </c>
      <c r="D275" s="25"/>
      <c r="E275" s="26"/>
      <c r="F275" s="37">
        <f>ROUND(C275/183*0.3,2)</f>
        <v>5.86</v>
      </c>
    </row>
    <row r="276" spans="2:6" ht="13.5" thickBot="1">
      <c r="B276" s="20"/>
      <c r="C276" s="8"/>
      <c r="D276" s="20"/>
      <c r="E276" s="20"/>
      <c r="F276" s="38"/>
    </row>
    <row r="277" spans="2:6" ht="12.75">
      <c r="B277" s="60" t="s">
        <v>45</v>
      </c>
      <c r="C277" s="30">
        <f>ROUND(235*1100/1000,0)</f>
        <v>259</v>
      </c>
      <c r="D277" s="22"/>
      <c r="E277" s="23"/>
      <c r="F277" s="36">
        <f>ROUND(C277/182*0.7,2)</f>
        <v>1</v>
      </c>
    </row>
    <row r="278" spans="2:6" ht="13.5" thickBot="1">
      <c r="B278" s="31" t="s">
        <v>19</v>
      </c>
      <c r="C278" s="32">
        <f>ROUND(2235*1650/1000,0)</f>
        <v>3688</v>
      </c>
      <c r="D278" s="25"/>
      <c r="E278" s="26"/>
      <c r="F278" s="37">
        <f>ROUND(C278/183*0.3,2)</f>
        <v>6.05</v>
      </c>
    </row>
    <row r="279" spans="2:6" ht="13.5" thickBot="1">
      <c r="B279" s="20"/>
      <c r="C279" s="8"/>
      <c r="D279" s="20"/>
      <c r="E279" s="20"/>
      <c r="F279" s="38"/>
    </row>
    <row r="280" spans="2:6" ht="12.75">
      <c r="B280" s="61" t="s">
        <v>32</v>
      </c>
      <c r="C280" s="30">
        <f>ROUND(150*1100/1000,0)</f>
        <v>165</v>
      </c>
      <c r="D280" s="22"/>
      <c r="E280" s="23"/>
      <c r="F280" s="36">
        <f>ROUND(C280/182*0.7,2)</f>
        <v>0.63</v>
      </c>
    </row>
    <row r="281" spans="2:6" ht="13.5" thickBot="1">
      <c r="B281" s="31" t="s">
        <v>19</v>
      </c>
      <c r="C281" s="32">
        <f>ROUND(2150*1650/1000,0)</f>
        <v>3548</v>
      </c>
      <c r="D281" s="25"/>
      <c r="E281" s="26"/>
      <c r="F281" s="37">
        <f>ROUND(C281/183*0.3,2)</f>
        <v>5.82</v>
      </c>
    </row>
    <row r="282" spans="2:6" ht="13.5" thickBot="1">
      <c r="B282" s="20"/>
      <c r="C282" s="8"/>
      <c r="D282" s="20"/>
      <c r="E282" s="20"/>
      <c r="F282" s="38"/>
    </row>
    <row r="283" spans="2:6" ht="12.75">
      <c r="B283" s="61" t="s">
        <v>33</v>
      </c>
      <c r="C283" s="30">
        <f>ROUND(180*1100/1000,0)</f>
        <v>198</v>
      </c>
      <c r="D283" s="22"/>
      <c r="E283" s="23"/>
      <c r="F283" s="36">
        <f>ROUND(C283/182*0.7,2)</f>
        <v>0.76</v>
      </c>
    </row>
    <row r="284" spans="2:6" ht="13.5" thickBot="1">
      <c r="B284" s="31" t="s">
        <v>19</v>
      </c>
      <c r="C284" s="32">
        <f>ROUND(2180*1650/1000,0)</f>
        <v>3597</v>
      </c>
      <c r="D284" s="25"/>
      <c r="E284" s="26"/>
      <c r="F284" s="37">
        <f>ROUND(C284/183*0.3,2)</f>
        <v>5.9</v>
      </c>
    </row>
    <row r="285" spans="2:6" ht="13.5" thickBot="1">
      <c r="B285" s="20"/>
      <c r="C285" s="8"/>
      <c r="D285" s="20"/>
      <c r="E285" s="20"/>
      <c r="F285" s="38"/>
    </row>
    <row r="286" spans="2:6" ht="12.75">
      <c r="B286" s="61" t="s">
        <v>47</v>
      </c>
      <c r="C286" s="30">
        <f>ROUND(225*1100/1000,0)</f>
        <v>248</v>
      </c>
      <c r="D286" s="22"/>
      <c r="E286" s="23"/>
      <c r="F286" s="36">
        <f>ROUND(C286/182*0.7,2)</f>
        <v>0.95</v>
      </c>
    </row>
    <row r="287" spans="2:6" ht="13.5" thickBot="1">
      <c r="B287" s="31" t="s">
        <v>19</v>
      </c>
      <c r="C287" s="32">
        <f>ROUND(2225*1650/1000,0)</f>
        <v>3671</v>
      </c>
      <c r="D287" s="25"/>
      <c r="E287" s="26"/>
      <c r="F287" s="37">
        <f>ROUND(C287/183*0.3,2)</f>
        <v>6.02</v>
      </c>
    </row>
    <row r="289" spans="1:2" ht="12.75">
      <c r="A289" s="40" t="s">
        <v>86</v>
      </c>
      <c r="B289" s="62" t="s">
        <v>92</v>
      </c>
    </row>
    <row r="290" ht="12.75">
      <c r="B290" t="s">
        <v>93</v>
      </c>
    </row>
    <row r="291" ht="12.75">
      <c r="B291" s="62" t="s">
        <v>94</v>
      </c>
    </row>
    <row r="292" spans="3:6" ht="13.5" thickBot="1">
      <c r="C292" s="18" t="s">
        <v>80</v>
      </c>
      <c r="F292" s="35" t="s">
        <v>9</v>
      </c>
    </row>
    <row r="293" spans="2:6" ht="12.75">
      <c r="B293" s="29" t="s">
        <v>64</v>
      </c>
      <c r="C293" s="30">
        <f>ROUND(50*1100/1000,0)</f>
        <v>55</v>
      </c>
      <c r="D293" s="22"/>
      <c r="E293" s="23"/>
      <c r="F293" s="36">
        <f>ROUND(C293/182*0.7,2)</f>
        <v>0.21</v>
      </c>
    </row>
    <row r="294" spans="2:6" ht="13.5" thickBot="1">
      <c r="B294" s="31" t="s">
        <v>28</v>
      </c>
      <c r="C294" s="32">
        <f>ROUND(50*1650/1000,0)</f>
        <v>83</v>
      </c>
      <c r="D294" s="25"/>
      <c r="E294" s="26"/>
      <c r="F294" s="37">
        <f>ROUND(C294/183*0.3,2)</f>
        <v>0.14</v>
      </c>
    </row>
    <row r="295" ht="13.5" thickBot="1"/>
    <row r="296" spans="2:6" ht="12.75">
      <c r="B296" s="29" t="s">
        <v>20</v>
      </c>
      <c r="C296" s="30">
        <f>ROUND(80*1100/1000,0)</f>
        <v>88</v>
      </c>
      <c r="D296" s="22"/>
      <c r="E296" s="23"/>
      <c r="F296" s="36">
        <f>ROUND(C296/182*0.7,2)</f>
        <v>0.34</v>
      </c>
    </row>
    <row r="297" spans="2:6" ht="13.5" thickBot="1">
      <c r="B297" s="31" t="s">
        <v>28</v>
      </c>
      <c r="C297" s="32">
        <f>ROUND(80*1650/1000,0)</f>
        <v>132</v>
      </c>
      <c r="D297" s="25"/>
      <c r="E297" s="26"/>
      <c r="F297" s="37">
        <f>ROUND(C297/183*0.3,2)</f>
        <v>0.22</v>
      </c>
    </row>
    <row r="298" ht="13.5" thickBot="1"/>
    <row r="299" spans="2:6" ht="12.75">
      <c r="B299" s="29" t="s">
        <v>21</v>
      </c>
      <c r="C299" s="30">
        <f>ROUND(130*1100/1000,0)</f>
        <v>143</v>
      </c>
      <c r="D299" s="22"/>
      <c r="E299" s="23"/>
      <c r="F299" s="36">
        <f>ROUND(C299/182*0.7,2)</f>
        <v>0.55</v>
      </c>
    </row>
    <row r="300" spans="2:6" ht="13.5" thickBot="1">
      <c r="B300" s="31" t="s">
        <v>28</v>
      </c>
      <c r="C300" s="32">
        <f>ROUND(130*1650/1000,0)</f>
        <v>215</v>
      </c>
      <c r="D300" s="25"/>
      <c r="E300" s="26"/>
      <c r="F300" s="37">
        <f>ROUND(C300/183*0.3,2)</f>
        <v>0.35</v>
      </c>
    </row>
    <row r="301" ht="13.5" thickBot="1"/>
    <row r="302" spans="2:6" ht="12.75">
      <c r="B302" s="29" t="s">
        <v>22</v>
      </c>
      <c r="C302" s="30">
        <f>ROUND(180*1100/1000,0)</f>
        <v>198</v>
      </c>
      <c r="D302" s="22"/>
      <c r="E302" s="23"/>
      <c r="F302" s="36">
        <f>ROUND(C302/182*0.7,2)</f>
        <v>0.76</v>
      </c>
    </row>
    <row r="303" spans="2:6" ht="13.5" thickBot="1">
      <c r="B303" s="31" t="s">
        <v>28</v>
      </c>
      <c r="C303" s="32">
        <f>ROUND(180*1650/1000,0)</f>
        <v>297</v>
      </c>
      <c r="D303" s="25"/>
      <c r="E303" s="26"/>
      <c r="F303" s="37">
        <f>ROUND(C303/183*0.3,2)</f>
        <v>0.49</v>
      </c>
    </row>
    <row r="304" ht="13.5" thickBot="1"/>
    <row r="305" spans="2:6" ht="12.75">
      <c r="B305" s="29" t="s">
        <v>46</v>
      </c>
      <c r="C305" s="30">
        <f>ROUND(210*1100/1000,0)</f>
        <v>231</v>
      </c>
      <c r="D305" s="22"/>
      <c r="E305" s="23"/>
      <c r="F305" s="36">
        <f>ROUND(C305/182*0.7,2)</f>
        <v>0.89</v>
      </c>
    </row>
    <row r="306" spans="2:6" ht="13.5" thickBot="1">
      <c r="B306" s="31" t="s">
        <v>28</v>
      </c>
      <c r="C306" s="32">
        <f>ROUND(210*1650/1000,0)</f>
        <v>347</v>
      </c>
      <c r="D306" s="25"/>
      <c r="E306" s="26"/>
      <c r="F306" s="37">
        <f>ROUND(C306/183*0.3,2)</f>
        <v>0.57</v>
      </c>
    </row>
    <row r="307" ht="13.5" thickBot="1"/>
    <row r="308" spans="2:6" ht="12.75">
      <c r="B308" s="27" t="s">
        <v>23</v>
      </c>
      <c r="C308" s="30">
        <f>ROUND(68*1100/1000,0)</f>
        <v>75</v>
      </c>
      <c r="D308" s="22"/>
      <c r="E308" s="23"/>
      <c r="F308" s="36">
        <f>ROUND(C308/182*0.7,2)</f>
        <v>0.29</v>
      </c>
    </row>
    <row r="309" spans="2:6" ht="13.5" thickBot="1">
      <c r="B309" s="31" t="s">
        <v>28</v>
      </c>
      <c r="C309" s="32">
        <f>ROUND(68*1650/1000,0)</f>
        <v>112</v>
      </c>
      <c r="D309" s="25"/>
      <c r="E309" s="26"/>
      <c r="F309" s="37">
        <f>ROUND(C309/183*0.3,2)</f>
        <v>0.18</v>
      </c>
    </row>
    <row r="310" ht="13.5" thickBot="1"/>
    <row r="311" spans="2:6" ht="12.75">
      <c r="B311" s="27" t="s">
        <v>24</v>
      </c>
      <c r="C311" s="30">
        <f>ROUND(135*1100/1000,0)</f>
        <v>149</v>
      </c>
      <c r="D311" s="22"/>
      <c r="E311" s="23"/>
      <c r="F311" s="36">
        <f>ROUND(C311/182*0.7,2)</f>
        <v>0.57</v>
      </c>
    </row>
    <row r="312" spans="2:6" ht="13.5" thickBot="1">
      <c r="B312" s="31" t="s">
        <v>28</v>
      </c>
      <c r="C312" s="32">
        <f>ROUND(135*1650/1000,0)</f>
        <v>223</v>
      </c>
      <c r="D312" s="25"/>
      <c r="E312" s="26"/>
      <c r="F312" s="37">
        <f>ROUND(C312/183*0.3,2)</f>
        <v>0.37</v>
      </c>
    </row>
    <row r="313" ht="13.5" thickBot="1"/>
    <row r="314" spans="2:6" ht="12.75">
      <c r="B314" s="27" t="s">
        <v>25</v>
      </c>
      <c r="C314" s="30">
        <f>ROUND(150*1100/1000,0)</f>
        <v>165</v>
      </c>
      <c r="D314" s="22"/>
      <c r="E314" s="23"/>
      <c r="F314" s="36">
        <f>ROUND(C314/182*0.7,2)</f>
        <v>0.63</v>
      </c>
    </row>
    <row r="315" spans="2:6" ht="13.5" thickBot="1">
      <c r="B315" s="31" t="s">
        <v>28</v>
      </c>
      <c r="C315" s="32">
        <f>ROUND(150*1650/1000,0)</f>
        <v>248</v>
      </c>
      <c r="D315" s="25"/>
      <c r="E315" s="26"/>
      <c r="F315" s="37">
        <f>ROUND(C315/183*0.3,2)</f>
        <v>0.41</v>
      </c>
    </row>
    <row r="316" ht="13.5" thickBot="1"/>
    <row r="317" spans="2:6" ht="12.75">
      <c r="B317" s="27" t="s">
        <v>26</v>
      </c>
      <c r="C317" s="30">
        <f>ROUND(260*1100/1000,0)</f>
        <v>286</v>
      </c>
      <c r="D317" s="22"/>
      <c r="E317" s="23"/>
      <c r="F317" s="36">
        <f>ROUND(C317/182*0.7,2)</f>
        <v>1.1</v>
      </c>
    </row>
    <row r="318" spans="2:6" ht="13.5" thickBot="1">
      <c r="B318" s="31" t="s">
        <v>28</v>
      </c>
      <c r="C318" s="32">
        <f>ROUND(260*1650/1000,0)</f>
        <v>429</v>
      </c>
      <c r="D318" s="25"/>
      <c r="E318" s="26"/>
      <c r="F318" s="37">
        <f>ROUND(C318/183*0.3,2)</f>
        <v>0.7</v>
      </c>
    </row>
    <row r="319" ht="13.5" thickBot="1"/>
    <row r="320" spans="2:6" ht="12.75">
      <c r="B320" s="60" t="s">
        <v>27</v>
      </c>
      <c r="C320" s="30">
        <f>ROUND(50*1100/1000,0)</f>
        <v>55</v>
      </c>
      <c r="D320" s="22"/>
      <c r="E320" s="23"/>
      <c r="F320" s="36">
        <f>ROUND(C320/182*0.7,2)</f>
        <v>0.21</v>
      </c>
    </row>
    <row r="321" spans="2:6" ht="13.5" thickBot="1">
      <c r="B321" s="31" t="s">
        <v>28</v>
      </c>
      <c r="C321" s="32">
        <f>ROUND(50*1650/1000,0)</f>
        <v>83</v>
      </c>
      <c r="D321" s="25"/>
      <c r="E321" s="26"/>
      <c r="F321" s="37">
        <f>ROUND(C321/183*0.3,2)</f>
        <v>0.14</v>
      </c>
    </row>
    <row r="322" ht="13.5" thickBot="1"/>
    <row r="323" spans="2:6" ht="12.75">
      <c r="B323" s="60" t="s">
        <v>29</v>
      </c>
      <c r="C323" s="30">
        <f>ROUND(85*1100/1000,0)</f>
        <v>94</v>
      </c>
      <c r="D323" s="22"/>
      <c r="E323" s="23"/>
      <c r="F323" s="36">
        <f>ROUND(C323/182*0.7,2)</f>
        <v>0.36</v>
      </c>
    </row>
    <row r="324" spans="2:6" ht="13.5" thickBot="1">
      <c r="B324" s="31" t="s">
        <v>28</v>
      </c>
      <c r="C324" s="32">
        <f>ROUND(85*1650/1000,0)</f>
        <v>140</v>
      </c>
      <c r="D324" s="25"/>
      <c r="E324" s="26"/>
      <c r="F324" s="37">
        <f>ROUND(C324/183*0.3,2)</f>
        <v>0.23</v>
      </c>
    </row>
    <row r="325" ht="13.5" thickBot="1"/>
    <row r="326" spans="2:6" ht="12.75">
      <c r="B326" s="60" t="s">
        <v>30</v>
      </c>
      <c r="C326" s="30">
        <f>ROUND(165*1100/1000,0)</f>
        <v>182</v>
      </c>
      <c r="D326" s="22"/>
      <c r="E326" s="23"/>
      <c r="F326" s="36">
        <f>ROUND(C326/182*0.7,2)</f>
        <v>0.7</v>
      </c>
    </row>
    <row r="327" spans="2:6" ht="13.5" thickBot="1">
      <c r="B327" s="31" t="s">
        <v>28</v>
      </c>
      <c r="C327" s="32">
        <f>ROUND(165*1650/1000,0)</f>
        <v>272</v>
      </c>
      <c r="D327" s="25"/>
      <c r="E327" s="26"/>
      <c r="F327" s="37">
        <f>ROUND(C327/183*0.3,2)</f>
        <v>0.45</v>
      </c>
    </row>
    <row r="328" ht="13.5" thickBot="1"/>
    <row r="329" spans="2:6" ht="12.75">
      <c r="B329" s="60" t="s">
        <v>31</v>
      </c>
      <c r="C329" s="30">
        <f>ROUND(165*1100/1000,0)</f>
        <v>182</v>
      </c>
      <c r="D329" s="22"/>
      <c r="E329" s="23"/>
      <c r="F329" s="36">
        <f>ROUND(C329/182*0.7,2)</f>
        <v>0.7</v>
      </c>
    </row>
    <row r="330" spans="2:6" ht="13.5" thickBot="1">
      <c r="B330" s="31" t="s">
        <v>28</v>
      </c>
      <c r="C330" s="32">
        <f>ROUND(165*1650/1000,0)</f>
        <v>272</v>
      </c>
      <c r="D330" s="25"/>
      <c r="E330" s="26"/>
      <c r="F330" s="37">
        <f>ROUND(C330/183*0.3,2)</f>
        <v>0.45</v>
      </c>
    </row>
    <row r="331" ht="13.5" thickBot="1"/>
    <row r="332" spans="2:6" ht="12.75">
      <c r="B332" s="60" t="s">
        <v>45</v>
      </c>
      <c r="C332" s="30">
        <f>ROUND(235*1100/1000,0)</f>
        <v>259</v>
      </c>
      <c r="D332" s="22"/>
      <c r="E332" s="23"/>
      <c r="F332" s="36">
        <f>ROUND(C332/182*0.7,2)</f>
        <v>1</v>
      </c>
    </row>
    <row r="333" spans="2:6" ht="13.5" thickBot="1">
      <c r="B333" s="31" t="s">
        <v>28</v>
      </c>
      <c r="C333" s="32">
        <f>ROUND(235*1650/1000,0)</f>
        <v>388</v>
      </c>
      <c r="D333" s="25"/>
      <c r="E333" s="26"/>
      <c r="F333" s="37">
        <f>ROUND(C333/183*0.3,2)</f>
        <v>0.64</v>
      </c>
    </row>
    <row r="334" ht="13.5" thickBot="1"/>
    <row r="335" spans="2:6" ht="12.75">
      <c r="B335" s="61" t="s">
        <v>32</v>
      </c>
      <c r="C335" s="30">
        <f>ROUND(150*1100/1000,0)</f>
        <v>165</v>
      </c>
      <c r="D335" s="22"/>
      <c r="E335" s="23"/>
      <c r="F335" s="36">
        <f>ROUND(C335/182*0.7,2)</f>
        <v>0.63</v>
      </c>
    </row>
    <row r="336" spans="2:6" ht="13.5" thickBot="1">
      <c r="B336" s="31" t="s">
        <v>28</v>
      </c>
      <c r="C336" s="32">
        <f>ROUND(150*1650/1000,0)</f>
        <v>248</v>
      </c>
      <c r="D336" s="25"/>
      <c r="E336" s="26"/>
      <c r="F336" s="37">
        <f>ROUND(C336/183*0.3,2)</f>
        <v>0.41</v>
      </c>
    </row>
    <row r="337" ht="13.5" thickBot="1"/>
    <row r="338" spans="2:6" ht="12.75">
      <c r="B338" s="61" t="s">
        <v>33</v>
      </c>
      <c r="C338" s="30">
        <f>ROUND(180*1100/1000,0)</f>
        <v>198</v>
      </c>
      <c r="D338" s="22"/>
      <c r="E338" s="23"/>
      <c r="F338" s="36">
        <f>ROUND(C338/182*0.7,2)</f>
        <v>0.76</v>
      </c>
    </row>
    <row r="339" spans="2:6" ht="13.5" thickBot="1">
      <c r="B339" s="31" t="s">
        <v>28</v>
      </c>
      <c r="C339" s="32">
        <f>ROUND(180*1650/1000,0)</f>
        <v>297</v>
      </c>
      <c r="D339" s="25"/>
      <c r="E339" s="26"/>
      <c r="F339" s="37">
        <f>ROUND(C339/183*0.3,2)</f>
        <v>0.49</v>
      </c>
    </row>
    <row r="340" ht="13.5" thickBot="1"/>
    <row r="341" spans="2:6" ht="12.75">
      <c r="B341" s="61" t="s">
        <v>47</v>
      </c>
      <c r="C341" s="30">
        <f>ROUND(225*1100/1000,0)</f>
        <v>248</v>
      </c>
      <c r="D341" s="22"/>
      <c r="E341" s="23"/>
      <c r="F341" s="36">
        <f>ROUND(C341/182*0.7,2)</f>
        <v>0.95</v>
      </c>
    </row>
    <row r="342" spans="2:6" ht="13.5" thickBot="1">
      <c r="B342" s="31" t="s">
        <v>28</v>
      </c>
      <c r="C342" s="32">
        <f>ROUND(225*1650/1000,0)</f>
        <v>371</v>
      </c>
      <c r="D342" s="25"/>
      <c r="E342" s="26"/>
      <c r="F342" s="37">
        <f>ROUND(C342/183*0.3,2)</f>
        <v>0.61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21" sqref="A21"/>
      <selection pane="bottomRight" activeCell="A17" sqref="A17"/>
    </sheetView>
  </sheetViews>
  <sheetFormatPr defaultColWidth="9.140625" defaultRowHeight="12.75"/>
  <cols>
    <col min="1" max="1" width="18.421875" style="0" bestFit="1" customWidth="1"/>
    <col min="2" max="2" width="12.28125" style="0" customWidth="1"/>
    <col min="3" max="3" width="12.7109375" style="0" bestFit="1" customWidth="1"/>
    <col min="8" max="8" width="5.00390625" style="0" customWidth="1"/>
    <col min="9" max="9" width="4.140625" style="0" customWidth="1"/>
  </cols>
  <sheetData>
    <row r="1" ht="12.75">
      <c r="A1" s="63" t="s">
        <v>36</v>
      </c>
    </row>
    <row r="3" spans="1:3" ht="12.75">
      <c r="A3" t="s">
        <v>37</v>
      </c>
      <c r="B3">
        <v>2.4</v>
      </c>
      <c r="C3" t="s">
        <v>40</v>
      </c>
    </row>
    <row r="4" spans="1:3" ht="12.75">
      <c r="A4" t="s">
        <v>38</v>
      </c>
      <c r="B4" s="16">
        <v>3</v>
      </c>
      <c r="C4" t="s">
        <v>43</v>
      </c>
    </row>
    <row r="6" spans="2:3" ht="12.75">
      <c r="B6">
        <f>+B3+B4</f>
        <v>5.4</v>
      </c>
      <c r="C6" t="s">
        <v>39</v>
      </c>
    </row>
    <row r="8" spans="2:3" ht="12.75">
      <c r="B8" s="17"/>
      <c r="C8" t="s">
        <v>105</v>
      </c>
    </row>
    <row r="10" spans="2:3" ht="12.75">
      <c r="B10">
        <f>ROUND(B6*B8,3)</f>
        <v>0</v>
      </c>
      <c r="C10" t="s">
        <v>44</v>
      </c>
    </row>
    <row r="12" spans="2:3" ht="12.75">
      <c r="B12" s="6">
        <f>ROUND(B10*4/1000,2)</f>
        <v>0</v>
      </c>
      <c r="C12" t="s">
        <v>104</v>
      </c>
    </row>
    <row r="13" ht="12.75">
      <c r="C13" t="s">
        <v>103</v>
      </c>
    </row>
    <row r="16" ht="15.75">
      <c r="A16" s="56" t="s">
        <v>65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101</v>
      </c>
    </row>
    <row r="21" ht="12.75">
      <c r="A21" t="s">
        <v>100</v>
      </c>
    </row>
    <row r="22" ht="12.75">
      <c r="A22" t="s">
        <v>119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pane ySplit="24" topLeftCell="BM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bestFit="1" customWidth="1"/>
    <col min="2" max="2" width="16.57421875" style="1" bestFit="1" customWidth="1"/>
    <col min="3" max="3" width="7.28125" style="0" customWidth="1"/>
    <col min="4" max="4" width="19.421875" style="1" bestFit="1" customWidth="1"/>
    <col min="5" max="5" width="7.00390625" style="0" customWidth="1"/>
    <col min="6" max="6" width="16.00390625" style="1" bestFit="1" customWidth="1"/>
    <col min="7" max="7" width="9.7109375" style="0" customWidth="1"/>
    <col min="8" max="8" width="3.7109375" style="0" customWidth="1"/>
  </cols>
  <sheetData>
    <row r="1" spans="1:3" ht="12.75">
      <c r="A1" s="43" t="s">
        <v>165</v>
      </c>
      <c r="B1" s="45"/>
      <c r="C1" s="79"/>
    </row>
    <row r="2" spans="2:6" ht="12.75">
      <c r="B2" s="1" t="s">
        <v>70</v>
      </c>
      <c r="D2" s="1" t="s">
        <v>71</v>
      </c>
      <c r="F2" s="1" t="s">
        <v>18</v>
      </c>
    </row>
    <row r="3" spans="1:6" ht="12.75">
      <c r="A3" t="s">
        <v>15</v>
      </c>
      <c r="B3" s="1">
        <v>1</v>
      </c>
      <c r="C3" s="6"/>
      <c r="D3" s="7">
        <v>2</v>
      </c>
      <c r="F3" s="1">
        <f>ROUND(B3*D3,0)</f>
        <v>2</v>
      </c>
    </row>
    <row r="4" ht="12.75">
      <c r="D4" s="8"/>
    </row>
    <row r="5" spans="2:6" ht="12.75">
      <c r="B5" s="1" t="s">
        <v>72</v>
      </c>
      <c r="D5" s="1" t="s">
        <v>74</v>
      </c>
      <c r="F5" s="1" t="s">
        <v>18</v>
      </c>
    </row>
    <row r="6" spans="1:6" ht="12.75">
      <c r="A6" t="s">
        <v>16</v>
      </c>
      <c r="B6" s="1">
        <v>9</v>
      </c>
      <c r="D6" s="7">
        <v>1.5</v>
      </c>
      <c r="F6" s="1">
        <f>ROUND(B6*D6,0)</f>
        <v>14</v>
      </c>
    </row>
    <row r="8" spans="2:6" ht="12.75">
      <c r="B8" s="1" t="s">
        <v>107</v>
      </c>
      <c r="D8" s="1" t="s">
        <v>75</v>
      </c>
      <c r="F8" s="1" t="s">
        <v>18</v>
      </c>
    </row>
    <row r="9" spans="1:6" ht="12.75">
      <c r="A9" t="s">
        <v>17</v>
      </c>
      <c r="B9" s="1">
        <v>3</v>
      </c>
      <c r="D9" s="7">
        <v>1.6</v>
      </c>
      <c r="F9" s="1">
        <f>ROUND(B9*D9,0)</f>
        <v>5</v>
      </c>
    </row>
    <row r="13" spans="5:6" ht="12.75">
      <c r="E13" s="9" t="s">
        <v>79</v>
      </c>
      <c r="F13" s="10">
        <f>+F3+F6+F9</f>
        <v>21</v>
      </c>
    </row>
    <row r="15" spans="5:6" ht="12.75">
      <c r="E15" s="9" t="s">
        <v>78</v>
      </c>
      <c r="F15" s="64">
        <f>ROUND(F13/748,6)</f>
        <v>0.028075</v>
      </c>
    </row>
    <row r="17" spans="1:6" ht="12.75">
      <c r="A17" t="s">
        <v>106</v>
      </c>
      <c r="F17"/>
    </row>
    <row r="18" spans="1:6" ht="12.75">
      <c r="A18" t="s">
        <v>73</v>
      </c>
      <c r="F18"/>
    </row>
    <row r="19" spans="1:6" ht="12.75">
      <c r="A19" t="s">
        <v>111</v>
      </c>
      <c r="F19"/>
    </row>
    <row r="20" spans="1:6" ht="12.75">
      <c r="A20" t="s">
        <v>109</v>
      </c>
      <c r="F20"/>
    </row>
    <row r="21" spans="1:6" ht="12.75">
      <c r="A21" t="s">
        <v>110</v>
      </c>
      <c r="F21"/>
    </row>
    <row r="22" spans="1:6" ht="12.75">
      <c r="A22" t="s">
        <v>77</v>
      </c>
      <c r="F22"/>
    </row>
    <row r="23" spans="1:6" ht="12.75">
      <c r="A23" t="s">
        <v>76</v>
      </c>
      <c r="F23"/>
    </row>
    <row r="24" spans="1:4" ht="15.75">
      <c r="A24" s="57" t="s">
        <v>65</v>
      </c>
      <c r="B24" s="45"/>
      <c r="C24" s="46"/>
      <c r="D24" s="44"/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  <row r="44" ht="12.75">
      <c r="A44" s="42"/>
    </row>
    <row r="45" ht="12.75">
      <c r="A45" s="18"/>
    </row>
    <row r="46" ht="12.75">
      <c r="A46" s="18"/>
    </row>
    <row r="47" ht="12.75">
      <c r="A47" s="18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9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"/>
    </sheetView>
  </sheetViews>
  <sheetFormatPr defaultColWidth="9.140625" defaultRowHeight="12.75"/>
  <cols>
    <col min="1" max="1" width="10.7109375" style="0" customWidth="1"/>
    <col min="2" max="2" width="13.7109375" style="0" customWidth="1"/>
    <col min="3" max="4" width="11.00390625" style="13" customWidth="1"/>
    <col min="5" max="5" width="11.28125" style="13" customWidth="1"/>
    <col min="6" max="6" width="12.28125" style="13" customWidth="1"/>
    <col min="7" max="7" width="11.421875" style="35" customWidth="1"/>
    <col min="8" max="8" width="8.00390625" style="68" customWidth="1"/>
    <col min="9" max="9" width="12.140625" style="35" customWidth="1"/>
    <col min="10" max="10" width="12.28125" style="35" customWidth="1"/>
    <col min="11" max="11" width="4.421875" style="0" customWidth="1"/>
    <col min="12" max="12" width="11.00390625" style="0" customWidth="1"/>
    <col min="13" max="13" width="10.57421875" style="13" customWidth="1"/>
    <col min="14" max="14" width="11.00390625" style="13" customWidth="1"/>
    <col min="15" max="15" width="10.7109375" style="35" customWidth="1"/>
    <col min="16" max="16" width="9.140625" style="68" customWidth="1"/>
    <col min="17" max="17" width="11.00390625" style="35" customWidth="1"/>
    <col min="18" max="18" width="11.7109375" style="35" customWidth="1"/>
    <col min="19" max="19" width="2.7109375" style="35" customWidth="1"/>
    <col min="20" max="20" width="13.00390625" style="35" customWidth="1"/>
  </cols>
  <sheetData>
    <row r="1" ht="15.75">
      <c r="B1" s="56" t="s">
        <v>65</v>
      </c>
    </row>
    <row r="2" ht="12.75">
      <c r="B2" t="s">
        <v>158</v>
      </c>
    </row>
    <row r="3" ht="12.75">
      <c r="B3" t="s">
        <v>159</v>
      </c>
    </row>
    <row r="4" ht="12.75">
      <c r="B4" t="s">
        <v>166</v>
      </c>
    </row>
    <row r="5" ht="12.75">
      <c r="B5" t="s">
        <v>160</v>
      </c>
    </row>
    <row r="6" ht="12.75">
      <c r="B6" t="s">
        <v>118</v>
      </c>
    </row>
    <row r="7" ht="12.75">
      <c r="B7" t="s">
        <v>167</v>
      </c>
    </row>
    <row r="8" ht="12.75">
      <c r="B8" t="s">
        <v>161</v>
      </c>
    </row>
    <row r="9" ht="12.75">
      <c r="B9" t="s">
        <v>162</v>
      </c>
    </row>
    <row r="10" ht="12.75">
      <c r="B10" t="s">
        <v>117</v>
      </c>
    </row>
    <row r="12" spans="1:22" ht="51">
      <c r="A12" s="41" t="s">
        <v>34</v>
      </c>
      <c r="B12" s="72" t="s">
        <v>41</v>
      </c>
      <c r="C12" s="73" t="s">
        <v>147</v>
      </c>
      <c r="D12" s="73" t="s">
        <v>102</v>
      </c>
      <c r="E12" s="73" t="s">
        <v>148</v>
      </c>
      <c r="F12" s="73" t="s">
        <v>149</v>
      </c>
      <c r="G12" s="74" t="s">
        <v>150</v>
      </c>
      <c r="H12" s="75" t="s">
        <v>151</v>
      </c>
      <c r="I12" s="74" t="s">
        <v>152</v>
      </c>
      <c r="J12" s="76" t="s">
        <v>113</v>
      </c>
      <c r="K12" s="77"/>
      <c r="L12" s="72" t="s">
        <v>116</v>
      </c>
      <c r="M12" s="73" t="s">
        <v>153</v>
      </c>
      <c r="N12" s="73" t="s">
        <v>154</v>
      </c>
      <c r="O12" s="76" t="s">
        <v>114</v>
      </c>
      <c r="P12" s="75" t="s">
        <v>155</v>
      </c>
      <c r="Q12" s="74" t="s">
        <v>156</v>
      </c>
      <c r="R12" s="76" t="s">
        <v>115</v>
      </c>
      <c r="S12" s="78"/>
      <c r="T12" s="74" t="s">
        <v>157</v>
      </c>
      <c r="U12" s="11"/>
      <c r="V12" s="11"/>
    </row>
    <row r="13" spans="1:20" ht="12.75">
      <c r="A13">
        <v>200511</v>
      </c>
      <c r="B13" s="58"/>
      <c r="C13" s="13">
        <f>ROUND(B13*'electricity per guestroom'!$E$20,0)</f>
        <v>0</v>
      </c>
      <c r="D13" s="58"/>
      <c r="E13" s="13">
        <f>ROUND(D13*'electricity per conference room'!$B$12,0)</f>
        <v>0</v>
      </c>
      <c r="F13" s="69"/>
      <c r="G13" s="70"/>
      <c r="H13" s="68" t="e">
        <f>ROUND(G13/F13,3)</f>
        <v>#DIV/0!</v>
      </c>
      <c r="I13" s="35" t="e">
        <f>ROUND((C13+E13)*H13,2)</f>
        <v>#DIV/0!</v>
      </c>
      <c r="J13" s="35" t="e">
        <f>+G13-I13</f>
        <v>#DIV/0!</v>
      </c>
      <c r="L13" s="58"/>
      <c r="M13" s="13">
        <f>ROUND(L13*'water per guest'!$F$15,0)</f>
        <v>0</v>
      </c>
      <c r="N13" s="69"/>
      <c r="O13" s="70"/>
      <c r="P13" s="68" t="e">
        <f>ROUND(O13/N13,3)</f>
        <v>#DIV/0!</v>
      </c>
      <c r="Q13" s="35" t="e">
        <f>ROUND(M13*P13,2)</f>
        <v>#DIV/0!</v>
      </c>
      <c r="R13" s="35" t="e">
        <f>+O13-Q13</f>
        <v>#DIV/0!</v>
      </c>
      <c r="T13" s="35" t="e">
        <f>+J13+R13</f>
        <v>#DIV/0!</v>
      </c>
    </row>
    <row r="14" spans="1:20" ht="12.75">
      <c r="A14">
        <v>200512</v>
      </c>
      <c r="B14" s="14"/>
      <c r="C14" s="13">
        <f>ROUND(B14*'electricity per guestroom'!$E$20,0)</f>
        <v>0</v>
      </c>
      <c r="D14" s="14"/>
      <c r="E14" s="13">
        <f>ROUND(D14*'electricity per conference room'!$B$12,0)</f>
        <v>0</v>
      </c>
      <c r="F14" s="69"/>
      <c r="G14" s="70"/>
      <c r="H14" s="68" t="e">
        <f>ROUND(G14/F14,3)</f>
        <v>#DIV/0!</v>
      </c>
      <c r="I14" s="35" t="e">
        <f>ROUND((C14+E14)*H14,2)</f>
        <v>#DIV/0!</v>
      </c>
      <c r="J14" s="35" t="e">
        <f>+G14-I14</f>
        <v>#DIV/0!</v>
      </c>
      <c r="L14" s="14"/>
      <c r="M14" s="13">
        <f>ROUND(L14*'water per guest'!$F$15,0)</f>
        <v>0</v>
      </c>
      <c r="N14" s="69"/>
      <c r="O14" s="70"/>
      <c r="P14" s="68" t="e">
        <f>ROUND(O14/N14,3)</f>
        <v>#DIV/0!</v>
      </c>
      <c r="Q14" s="35" t="e">
        <f>ROUND(M14*P14,2)</f>
        <v>#DIV/0!</v>
      </c>
      <c r="R14" s="35" t="e">
        <f>+O14-Q14</f>
        <v>#DIV/0!</v>
      </c>
      <c r="T14" s="35" t="e">
        <f>+J14+R14</f>
        <v>#DIV/0!</v>
      </c>
    </row>
    <row r="15" spans="1:20" ht="12.75">
      <c r="A15" t="s">
        <v>35</v>
      </c>
      <c r="B15" s="15">
        <f aca="true" t="shared" si="0" ref="B15:G15">SUM(B13:B14)</f>
        <v>0</v>
      </c>
      <c r="C15" s="15">
        <f t="shared" si="0"/>
        <v>0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67">
        <f t="shared" si="0"/>
        <v>0</v>
      </c>
      <c r="I15" s="67" t="e">
        <f>SUM(I13:I14)</f>
        <v>#DIV/0!</v>
      </c>
      <c r="J15" s="67" t="e">
        <f>SUM(J13:J14)</f>
        <v>#DIV/0!</v>
      </c>
      <c r="L15" s="15">
        <f>SUM(L13:L14)</f>
        <v>0</v>
      </c>
      <c r="M15" s="15">
        <f>SUM(M13:M14)</f>
        <v>0</v>
      </c>
      <c r="N15" s="15">
        <f>SUM(N13:N14)</f>
        <v>0</v>
      </c>
      <c r="O15" s="67">
        <f>SUM(O13:O14)</f>
        <v>0</v>
      </c>
      <c r="Q15" s="67" t="e">
        <f>SUM(Q13:Q14)</f>
        <v>#DIV/0!</v>
      </c>
      <c r="R15" s="67" t="e">
        <f>SUM(R13:R14)</f>
        <v>#DIV/0!</v>
      </c>
      <c r="T15" s="67" t="e">
        <f>SUM(T13:T14)</f>
        <v>#DIV/0!</v>
      </c>
    </row>
    <row r="17" spans="1:20" ht="12.75">
      <c r="A17">
        <v>200601</v>
      </c>
      <c r="B17" s="14"/>
      <c r="C17" s="13">
        <f>ROUND(B17*'electricity per guestroom'!$E$20,0)</f>
        <v>0</v>
      </c>
      <c r="D17" s="14"/>
      <c r="E17" s="13">
        <f>ROUND(D17*'electricity per conference room'!$B$12,0)</f>
        <v>0</v>
      </c>
      <c r="F17" s="69"/>
      <c r="G17" s="70"/>
      <c r="H17" s="68" t="e">
        <f aca="true" t="shared" si="1" ref="H17:H28">ROUND(G17/F17,3)</f>
        <v>#DIV/0!</v>
      </c>
      <c r="I17" s="35" t="e">
        <f aca="true" t="shared" si="2" ref="I17:I28">ROUND((C17+E17)*H17,2)</f>
        <v>#DIV/0!</v>
      </c>
      <c r="J17" s="35" t="e">
        <f aca="true" t="shared" si="3" ref="J17:J28">+G17-I17</f>
        <v>#DIV/0!</v>
      </c>
      <c r="L17" s="14"/>
      <c r="M17" s="13">
        <f>ROUND(L17*'water per guest'!$F$15,0)</f>
        <v>0</v>
      </c>
      <c r="N17" s="69"/>
      <c r="O17" s="70"/>
      <c r="P17" s="68" t="e">
        <f aca="true" t="shared" si="4" ref="P17:P28">ROUND(O17/N17,3)</f>
        <v>#DIV/0!</v>
      </c>
      <c r="Q17" s="35" t="e">
        <f aca="true" t="shared" si="5" ref="Q17:Q28">ROUND(M17*P17,2)</f>
        <v>#DIV/0!</v>
      </c>
      <c r="R17" s="35" t="e">
        <f aca="true" t="shared" si="6" ref="R17:R28">+O17-Q17</f>
        <v>#DIV/0!</v>
      </c>
      <c r="T17" s="35" t="e">
        <f aca="true" t="shared" si="7" ref="T17:T28">+J17+R17</f>
        <v>#DIV/0!</v>
      </c>
    </row>
    <row r="18" spans="1:20" ht="12.75">
      <c r="A18">
        <v>200602</v>
      </c>
      <c r="B18" s="14"/>
      <c r="C18" s="13">
        <f>ROUND(B18*'electricity per guestroom'!$E$20,0)</f>
        <v>0</v>
      </c>
      <c r="D18" s="14"/>
      <c r="E18" s="13">
        <f>ROUND(D18*'electricity per conference room'!$B$12,0)</f>
        <v>0</v>
      </c>
      <c r="F18" s="69"/>
      <c r="G18" s="70"/>
      <c r="H18" s="68" t="e">
        <f t="shared" si="1"/>
        <v>#DIV/0!</v>
      </c>
      <c r="I18" s="35" t="e">
        <f t="shared" si="2"/>
        <v>#DIV/0!</v>
      </c>
      <c r="J18" s="35" t="e">
        <f t="shared" si="3"/>
        <v>#DIV/0!</v>
      </c>
      <c r="L18" s="14"/>
      <c r="M18" s="13">
        <f>ROUND(L18*'water per guest'!$F$15,0)</f>
        <v>0</v>
      </c>
      <c r="N18" s="69"/>
      <c r="O18" s="70"/>
      <c r="P18" s="68" t="e">
        <f t="shared" si="4"/>
        <v>#DIV/0!</v>
      </c>
      <c r="Q18" s="35" t="e">
        <f t="shared" si="5"/>
        <v>#DIV/0!</v>
      </c>
      <c r="R18" s="35" t="e">
        <f t="shared" si="6"/>
        <v>#DIV/0!</v>
      </c>
      <c r="T18" s="35" t="e">
        <f t="shared" si="7"/>
        <v>#DIV/0!</v>
      </c>
    </row>
    <row r="19" spans="1:20" ht="12.75">
      <c r="A19">
        <v>200603</v>
      </c>
      <c r="B19" s="14"/>
      <c r="C19" s="13">
        <f>ROUND(B19*'electricity per guestroom'!$E$20,0)</f>
        <v>0</v>
      </c>
      <c r="D19" s="14"/>
      <c r="E19" s="13">
        <f>ROUND(D19*'electricity per conference room'!$B$12,0)</f>
        <v>0</v>
      </c>
      <c r="F19" s="69"/>
      <c r="G19" s="70"/>
      <c r="H19" s="68" t="e">
        <f t="shared" si="1"/>
        <v>#DIV/0!</v>
      </c>
      <c r="I19" s="35" t="e">
        <f t="shared" si="2"/>
        <v>#DIV/0!</v>
      </c>
      <c r="J19" s="35" t="e">
        <f t="shared" si="3"/>
        <v>#DIV/0!</v>
      </c>
      <c r="L19" s="14"/>
      <c r="M19" s="13">
        <f>ROUND(L19*'water per guest'!$F$15,0)</f>
        <v>0</v>
      </c>
      <c r="N19" s="69"/>
      <c r="O19" s="70"/>
      <c r="P19" s="68" t="e">
        <f t="shared" si="4"/>
        <v>#DIV/0!</v>
      </c>
      <c r="Q19" s="35" t="e">
        <f t="shared" si="5"/>
        <v>#DIV/0!</v>
      </c>
      <c r="R19" s="35" t="e">
        <f t="shared" si="6"/>
        <v>#DIV/0!</v>
      </c>
      <c r="T19" s="35" t="e">
        <f t="shared" si="7"/>
        <v>#DIV/0!</v>
      </c>
    </row>
    <row r="20" spans="1:20" ht="12.75">
      <c r="A20">
        <v>200604</v>
      </c>
      <c r="B20" s="14"/>
      <c r="C20" s="13">
        <f>ROUND(B20*'electricity per guestroom'!$E$20,0)</f>
        <v>0</v>
      </c>
      <c r="D20" s="14"/>
      <c r="E20" s="13">
        <f>ROUND(D20*'electricity per conference room'!$B$12,0)</f>
        <v>0</v>
      </c>
      <c r="F20" s="69"/>
      <c r="G20" s="70"/>
      <c r="H20" s="68" t="e">
        <f t="shared" si="1"/>
        <v>#DIV/0!</v>
      </c>
      <c r="I20" s="35" t="e">
        <f t="shared" si="2"/>
        <v>#DIV/0!</v>
      </c>
      <c r="J20" s="35" t="e">
        <f t="shared" si="3"/>
        <v>#DIV/0!</v>
      </c>
      <c r="L20" s="14"/>
      <c r="M20" s="13">
        <f>ROUND(L20*'water per guest'!$F$15,0)</f>
        <v>0</v>
      </c>
      <c r="N20" s="69"/>
      <c r="O20" s="70"/>
      <c r="P20" s="68" t="e">
        <f t="shared" si="4"/>
        <v>#DIV/0!</v>
      </c>
      <c r="Q20" s="35" t="e">
        <f t="shared" si="5"/>
        <v>#DIV/0!</v>
      </c>
      <c r="R20" s="35" t="e">
        <f t="shared" si="6"/>
        <v>#DIV/0!</v>
      </c>
      <c r="T20" s="35" t="e">
        <f t="shared" si="7"/>
        <v>#DIV/0!</v>
      </c>
    </row>
    <row r="21" spans="1:20" ht="12.75">
      <c r="A21">
        <v>200605</v>
      </c>
      <c r="B21" s="14"/>
      <c r="C21" s="13">
        <f>ROUND(B21*'electricity per guestroom'!$E$20,0)</f>
        <v>0</v>
      </c>
      <c r="D21" s="14"/>
      <c r="E21" s="13">
        <f>ROUND(D21*'electricity per conference room'!$B$12,0)</f>
        <v>0</v>
      </c>
      <c r="F21" s="69"/>
      <c r="G21" s="70"/>
      <c r="H21" s="68" t="e">
        <f t="shared" si="1"/>
        <v>#DIV/0!</v>
      </c>
      <c r="I21" s="35" t="e">
        <f t="shared" si="2"/>
        <v>#DIV/0!</v>
      </c>
      <c r="J21" s="35" t="e">
        <f t="shared" si="3"/>
        <v>#DIV/0!</v>
      </c>
      <c r="L21" s="14"/>
      <c r="M21" s="13">
        <f>ROUND(L21*'water per guest'!$F$15,0)</f>
        <v>0</v>
      </c>
      <c r="N21" s="69"/>
      <c r="O21" s="70"/>
      <c r="P21" s="68" t="e">
        <f t="shared" si="4"/>
        <v>#DIV/0!</v>
      </c>
      <c r="Q21" s="35" t="e">
        <f t="shared" si="5"/>
        <v>#DIV/0!</v>
      </c>
      <c r="R21" s="35" t="e">
        <f t="shared" si="6"/>
        <v>#DIV/0!</v>
      </c>
      <c r="T21" s="35" t="e">
        <f t="shared" si="7"/>
        <v>#DIV/0!</v>
      </c>
    </row>
    <row r="22" spans="1:20" ht="12.75">
      <c r="A22">
        <v>200606</v>
      </c>
      <c r="B22" s="14"/>
      <c r="C22" s="13">
        <f>ROUND(B22*'electricity per guestroom'!$E$20,0)</f>
        <v>0</v>
      </c>
      <c r="D22" s="14"/>
      <c r="E22" s="13">
        <f>ROUND(D22*'electricity per conference room'!$B$12,0)</f>
        <v>0</v>
      </c>
      <c r="F22" s="69"/>
      <c r="G22" s="70"/>
      <c r="H22" s="68" t="e">
        <f t="shared" si="1"/>
        <v>#DIV/0!</v>
      </c>
      <c r="I22" s="35" t="e">
        <f t="shared" si="2"/>
        <v>#DIV/0!</v>
      </c>
      <c r="J22" s="35" t="e">
        <f t="shared" si="3"/>
        <v>#DIV/0!</v>
      </c>
      <c r="L22" s="14"/>
      <c r="M22" s="13">
        <f>ROUND(L22*'water per guest'!$F$15,0)</f>
        <v>0</v>
      </c>
      <c r="N22" s="69"/>
      <c r="O22" s="70"/>
      <c r="P22" s="68" t="e">
        <f t="shared" si="4"/>
        <v>#DIV/0!</v>
      </c>
      <c r="Q22" s="35" t="e">
        <f t="shared" si="5"/>
        <v>#DIV/0!</v>
      </c>
      <c r="R22" s="35" t="e">
        <f t="shared" si="6"/>
        <v>#DIV/0!</v>
      </c>
      <c r="T22" s="35" t="e">
        <f t="shared" si="7"/>
        <v>#DIV/0!</v>
      </c>
    </row>
    <row r="23" spans="1:20" ht="12.75">
      <c r="A23">
        <v>200607</v>
      </c>
      <c r="B23" s="14"/>
      <c r="C23" s="13">
        <f>ROUND(B23*'electricity per guestroom'!$E$20,0)</f>
        <v>0</v>
      </c>
      <c r="D23" s="14"/>
      <c r="E23" s="13">
        <f>ROUND(D23*'electricity per conference room'!$B$12,0)</f>
        <v>0</v>
      </c>
      <c r="F23" s="69"/>
      <c r="G23" s="70"/>
      <c r="H23" s="68" t="e">
        <f t="shared" si="1"/>
        <v>#DIV/0!</v>
      </c>
      <c r="I23" s="35" t="e">
        <f t="shared" si="2"/>
        <v>#DIV/0!</v>
      </c>
      <c r="J23" s="35" t="e">
        <f t="shared" si="3"/>
        <v>#DIV/0!</v>
      </c>
      <c r="L23" s="14"/>
      <c r="M23" s="13">
        <f>ROUND(L23*'water per guest'!$F$15,0)</f>
        <v>0</v>
      </c>
      <c r="N23" s="69"/>
      <c r="O23" s="70"/>
      <c r="P23" s="68" t="e">
        <f t="shared" si="4"/>
        <v>#DIV/0!</v>
      </c>
      <c r="Q23" s="35" t="e">
        <f t="shared" si="5"/>
        <v>#DIV/0!</v>
      </c>
      <c r="R23" s="35" t="e">
        <f t="shared" si="6"/>
        <v>#DIV/0!</v>
      </c>
      <c r="T23" s="35" t="e">
        <f t="shared" si="7"/>
        <v>#DIV/0!</v>
      </c>
    </row>
    <row r="24" spans="1:20" ht="12.75">
      <c r="A24">
        <v>200608</v>
      </c>
      <c r="B24" s="14"/>
      <c r="C24" s="13">
        <f>ROUND(B24*'electricity per guestroom'!$E$20,0)</f>
        <v>0</v>
      </c>
      <c r="D24" s="14"/>
      <c r="E24" s="13">
        <f>ROUND(D24*'electricity per conference room'!$B$12,0)</f>
        <v>0</v>
      </c>
      <c r="F24" s="69"/>
      <c r="G24" s="70"/>
      <c r="H24" s="68" t="e">
        <f t="shared" si="1"/>
        <v>#DIV/0!</v>
      </c>
      <c r="I24" s="35" t="e">
        <f t="shared" si="2"/>
        <v>#DIV/0!</v>
      </c>
      <c r="J24" s="35" t="e">
        <f t="shared" si="3"/>
        <v>#DIV/0!</v>
      </c>
      <c r="L24" s="14"/>
      <c r="M24" s="13">
        <f>ROUND(L24*'water per guest'!$F$15,0)</f>
        <v>0</v>
      </c>
      <c r="N24" s="69"/>
      <c r="O24" s="70"/>
      <c r="P24" s="68" t="e">
        <f t="shared" si="4"/>
        <v>#DIV/0!</v>
      </c>
      <c r="Q24" s="35" t="e">
        <f t="shared" si="5"/>
        <v>#DIV/0!</v>
      </c>
      <c r="R24" s="35" t="e">
        <f t="shared" si="6"/>
        <v>#DIV/0!</v>
      </c>
      <c r="T24" s="35" t="e">
        <f t="shared" si="7"/>
        <v>#DIV/0!</v>
      </c>
    </row>
    <row r="25" spans="1:20" ht="12.75">
      <c r="A25">
        <v>200609</v>
      </c>
      <c r="B25" s="14"/>
      <c r="C25" s="13">
        <f>ROUND(B25*'electricity per guestroom'!$E$20,0)</f>
        <v>0</v>
      </c>
      <c r="D25" s="14"/>
      <c r="E25" s="13">
        <f>ROUND(D25*'electricity per conference room'!$B$12,0)</f>
        <v>0</v>
      </c>
      <c r="F25" s="69"/>
      <c r="G25" s="70"/>
      <c r="H25" s="68" t="e">
        <f t="shared" si="1"/>
        <v>#DIV/0!</v>
      </c>
      <c r="I25" s="35" t="e">
        <f t="shared" si="2"/>
        <v>#DIV/0!</v>
      </c>
      <c r="J25" s="35" t="e">
        <f t="shared" si="3"/>
        <v>#DIV/0!</v>
      </c>
      <c r="L25" s="14"/>
      <c r="M25" s="13">
        <f>ROUND(L25*'water per guest'!$F$15,0)</f>
        <v>0</v>
      </c>
      <c r="N25" s="69"/>
      <c r="O25" s="70"/>
      <c r="P25" s="68" t="e">
        <f t="shared" si="4"/>
        <v>#DIV/0!</v>
      </c>
      <c r="Q25" s="35" t="e">
        <f t="shared" si="5"/>
        <v>#DIV/0!</v>
      </c>
      <c r="R25" s="35" t="e">
        <f t="shared" si="6"/>
        <v>#DIV/0!</v>
      </c>
      <c r="T25" s="35" t="e">
        <f t="shared" si="7"/>
        <v>#DIV/0!</v>
      </c>
    </row>
    <row r="26" spans="1:20" ht="12.75">
      <c r="A26">
        <v>200610</v>
      </c>
      <c r="B26" s="14"/>
      <c r="C26" s="13">
        <f>ROUND(B26*'electricity per guestroom'!$E$20,0)</f>
        <v>0</v>
      </c>
      <c r="D26" s="14"/>
      <c r="E26" s="13">
        <f>ROUND(D26*'electricity per conference room'!$B$12,0)</f>
        <v>0</v>
      </c>
      <c r="F26" s="69"/>
      <c r="G26" s="70"/>
      <c r="H26" s="68" t="e">
        <f t="shared" si="1"/>
        <v>#DIV/0!</v>
      </c>
      <c r="I26" s="35" t="e">
        <f t="shared" si="2"/>
        <v>#DIV/0!</v>
      </c>
      <c r="J26" s="35" t="e">
        <f t="shared" si="3"/>
        <v>#DIV/0!</v>
      </c>
      <c r="L26" s="14"/>
      <c r="M26" s="13">
        <f>ROUND(L26*'water per guest'!$F$15,0)</f>
        <v>0</v>
      </c>
      <c r="N26" s="69"/>
      <c r="O26" s="70"/>
      <c r="P26" s="68" t="e">
        <f t="shared" si="4"/>
        <v>#DIV/0!</v>
      </c>
      <c r="Q26" s="35" t="e">
        <f t="shared" si="5"/>
        <v>#DIV/0!</v>
      </c>
      <c r="R26" s="35" t="e">
        <f t="shared" si="6"/>
        <v>#DIV/0!</v>
      </c>
      <c r="T26" s="35" t="e">
        <f t="shared" si="7"/>
        <v>#DIV/0!</v>
      </c>
    </row>
    <row r="27" spans="1:20" ht="12.75">
      <c r="A27">
        <v>200611</v>
      </c>
      <c r="B27" s="14"/>
      <c r="C27" s="13">
        <f>ROUND(B27*'electricity per guestroom'!$E$20,0)</f>
        <v>0</v>
      </c>
      <c r="D27" s="14"/>
      <c r="E27" s="13">
        <f>ROUND(D27*'electricity per conference room'!$B$12,0)</f>
        <v>0</v>
      </c>
      <c r="F27" s="69"/>
      <c r="G27" s="70"/>
      <c r="H27" s="68" t="e">
        <f t="shared" si="1"/>
        <v>#DIV/0!</v>
      </c>
      <c r="I27" s="35" t="e">
        <f t="shared" si="2"/>
        <v>#DIV/0!</v>
      </c>
      <c r="J27" s="35" t="e">
        <f t="shared" si="3"/>
        <v>#DIV/0!</v>
      </c>
      <c r="L27" s="14"/>
      <c r="M27" s="13">
        <f>ROUND(L27*'water per guest'!$F$15,0)</f>
        <v>0</v>
      </c>
      <c r="N27" s="69"/>
      <c r="O27" s="70"/>
      <c r="P27" s="68" t="e">
        <f t="shared" si="4"/>
        <v>#DIV/0!</v>
      </c>
      <c r="Q27" s="35" t="e">
        <f t="shared" si="5"/>
        <v>#DIV/0!</v>
      </c>
      <c r="R27" s="35" t="e">
        <f t="shared" si="6"/>
        <v>#DIV/0!</v>
      </c>
      <c r="T27" s="35" t="e">
        <f t="shared" si="7"/>
        <v>#DIV/0!</v>
      </c>
    </row>
    <row r="28" spans="1:20" ht="12.75">
      <c r="A28">
        <v>200612</v>
      </c>
      <c r="B28" s="14"/>
      <c r="C28" s="13">
        <f>ROUND(B28*'electricity per guestroom'!$E$20,0)</f>
        <v>0</v>
      </c>
      <c r="D28" s="14"/>
      <c r="E28" s="13">
        <f>ROUND(D28*'electricity per conference room'!$B$12,0)</f>
        <v>0</v>
      </c>
      <c r="F28" s="69"/>
      <c r="G28" s="70"/>
      <c r="H28" s="68" t="e">
        <f t="shared" si="1"/>
        <v>#DIV/0!</v>
      </c>
      <c r="I28" s="35" t="e">
        <f t="shared" si="2"/>
        <v>#DIV/0!</v>
      </c>
      <c r="J28" s="35" t="e">
        <f t="shared" si="3"/>
        <v>#DIV/0!</v>
      </c>
      <c r="L28" s="14"/>
      <c r="M28" s="13">
        <f>ROUND(L28*'water per guest'!$F$15,0)</f>
        <v>0</v>
      </c>
      <c r="N28" s="69"/>
      <c r="O28" s="70"/>
      <c r="P28" s="68" t="e">
        <f t="shared" si="4"/>
        <v>#DIV/0!</v>
      </c>
      <c r="Q28" s="35" t="e">
        <f t="shared" si="5"/>
        <v>#DIV/0!</v>
      </c>
      <c r="R28" s="35" t="e">
        <f t="shared" si="6"/>
        <v>#DIV/0!</v>
      </c>
      <c r="T28" s="35" t="e">
        <f t="shared" si="7"/>
        <v>#DIV/0!</v>
      </c>
    </row>
    <row r="29" spans="1:20" ht="12.75">
      <c r="A29" t="s">
        <v>35</v>
      </c>
      <c r="B29" s="15">
        <f aca="true" t="shared" si="8" ref="B29:G29">SUM(B17:B28)</f>
        <v>0</v>
      </c>
      <c r="C29" s="15">
        <f t="shared" si="8"/>
        <v>0</v>
      </c>
      <c r="D29" s="15">
        <f t="shared" si="8"/>
        <v>0</v>
      </c>
      <c r="E29" s="15">
        <f t="shared" si="8"/>
        <v>0</v>
      </c>
      <c r="F29" s="15">
        <f t="shared" si="8"/>
        <v>0</v>
      </c>
      <c r="G29" s="67">
        <f t="shared" si="8"/>
        <v>0</v>
      </c>
      <c r="I29" s="67" t="e">
        <f>SUM(I17:I28)</f>
        <v>#DIV/0!</v>
      </c>
      <c r="J29" s="67" t="e">
        <f>SUM(J17:J28)</f>
        <v>#DIV/0!</v>
      </c>
      <c r="L29" s="15">
        <f>SUM(L17:L28)</f>
        <v>0</v>
      </c>
      <c r="M29" s="15">
        <f>SUM(M17:M28)</f>
        <v>0</v>
      </c>
      <c r="N29" s="15">
        <f>SUM(N17:N28)</f>
        <v>0</v>
      </c>
      <c r="O29" s="67">
        <f>SUM(O17:O28)</f>
        <v>0</v>
      </c>
      <c r="Q29" s="67" t="e">
        <f>SUM(Q17:Q28)</f>
        <v>#DIV/0!</v>
      </c>
      <c r="R29" s="67" t="e">
        <f>SUM(R17:R28)</f>
        <v>#DIV/0!</v>
      </c>
      <c r="T29" s="67" t="e">
        <f>SUM(T17:T28)</f>
        <v>#DIV/0!</v>
      </c>
    </row>
    <row r="30" ht="12.75">
      <c r="D30"/>
    </row>
    <row r="31" spans="1:20" ht="12.75">
      <c r="A31">
        <v>200701</v>
      </c>
      <c r="B31" s="14"/>
      <c r="C31" s="13">
        <f>ROUND(B31*'electricity per guestroom'!$E$20,0)</f>
        <v>0</v>
      </c>
      <c r="D31" s="14"/>
      <c r="E31" s="13">
        <f>ROUND(D31*'electricity per conference room'!$B$12,0)</f>
        <v>0</v>
      </c>
      <c r="F31" s="69"/>
      <c r="G31" s="70"/>
      <c r="H31" s="68" t="e">
        <f aca="true" t="shared" si="9" ref="H31:H42">ROUND(G31/F31,3)</f>
        <v>#DIV/0!</v>
      </c>
      <c r="I31" s="35" t="e">
        <f aca="true" t="shared" si="10" ref="I31:I42">ROUND((C31+E31)*H31,2)</f>
        <v>#DIV/0!</v>
      </c>
      <c r="J31" s="35" t="e">
        <f aca="true" t="shared" si="11" ref="J31:J42">+G31-I31</f>
        <v>#DIV/0!</v>
      </c>
      <c r="L31" s="14"/>
      <c r="M31" s="13">
        <f>ROUND(L31*'water per guest'!$F$15,0)</f>
        <v>0</v>
      </c>
      <c r="N31" s="69"/>
      <c r="O31" s="70"/>
      <c r="P31" s="68" t="e">
        <f aca="true" t="shared" si="12" ref="P31:P42">ROUND(O31/N31,3)</f>
        <v>#DIV/0!</v>
      </c>
      <c r="Q31" s="35" t="e">
        <f aca="true" t="shared" si="13" ref="Q31:Q42">ROUND(M31*P31,2)</f>
        <v>#DIV/0!</v>
      </c>
      <c r="R31" s="35" t="e">
        <f aca="true" t="shared" si="14" ref="R31:R42">+O31-Q31</f>
        <v>#DIV/0!</v>
      </c>
      <c r="T31" s="35" t="e">
        <f aca="true" t="shared" si="15" ref="T31:T42">+J31+R31</f>
        <v>#DIV/0!</v>
      </c>
    </row>
    <row r="32" spans="1:20" ht="12.75">
      <c r="A32">
        <v>200702</v>
      </c>
      <c r="B32" s="14"/>
      <c r="C32" s="13">
        <f>ROUND(B32*'electricity per guestroom'!$E$20,0)</f>
        <v>0</v>
      </c>
      <c r="D32" s="14"/>
      <c r="E32" s="13">
        <f>ROUND(D32*'electricity per conference room'!$B$12,0)</f>
        <v>0</v>
      </c>
      <c r="F32" s="69"/>
      <c r="G32" s="70"/>
      <c r="H32" s="68" t="e">
        <f t="shared" si="9"/>
        <v>#DIV/0!</v>
      </c>
      <c r="I32" s="35" t="e">
        <f t="shared" si="10"/>
        <v>#DIV/0!</v>
      </c>
      <c r="J32" s="35" t="e">
        <f t="shared" si="11"/>
        <v>#DIV/0!</v>
      </c>
      <c r="L32" s="14"/>
      <c r="M32" s="13">
        <f>ROUND(L32*'water per guest'!$F$15,0)</f>
        <v>0</v>
      </c>
      <c r="N32" s="69"/>
      <c r="O32" s="70"/>
      <c r="P32" s="68" t="e">
        <f t="shared" si="12"/>
        <v>#DIV/0!</v>
      </c>
      <c r="Q32" s="35" t="e">
        <f t="shared" si="13"/>
        <v>#DIV/0!</v>
      </c>
      <c r="R32" s="35" t="e">
        <f t="shared" si="14"/>
        <v>#DIV/0!</v>
      </c>
      <c r="T32" s="35" t="e">
        <f t="shared" si="15"/>
        <v>#DIV/0!</v>
      </c>
    </row>
    <row r="33" spans="1:20" ht="12.75">
      <c r="A33">
        <v>200703</v>
      </c>
      <c r="B33" s="14"/>
      <c r="C33" s="13">
        <f>ROUND(B33*'electricity per guestroom'!$E$20,0)</f>
        <v>0</v>
      </c>
      <c r="D33" s="14"/>
      <c r="E33" s="13">
        <f>ROUND(D33*'electricity per conference room'!$B$12,0)</f>
        <v>0</v>
      </c>
      <c r="F33" s="69"/>
      <c r="G33" s="70"/>
      <c r="H33" s="68" t="e">
        <f t="shared" si="9"/>
        <v>#DIV/0!</v>
      </c>
      <c r="I33" s="35" t="e">
        <f t="shared" si="10"/>
        <v>#DIV/0!</v>
      </c>
      <c r="J33" s="35" t="e">
        <f t="shared" si="11"/>
        <v>#DIV/0!</v>
      </c>
      <c r="L33" s="14"/>
      <c r="M33" s="13">
        <f>ROUND(L33*'water per guest'!$F$15,0)</f>
        <v>0</v>
      </c>
      <c r="N33" s="69"/>
      <c r="O33" s="70"/>
      <c r="P33" s="68" t="e">
        <f t="shared" si="12"/>
        <v>#DIV/0!</v>
      </c>
      <c r="Q33" s="35" t="e">
        <f t="shared" si="13"/>
        <v>#DIV/0!</v>
      </c>
      <c r="R33" s="35" t="e">
        <f t="shared" si="14"/>
        <v>#DIV/0!</v>
      </c>
      <c r="T33" s="35" t="e">
        <f t="shared" si="15"/>
        <v>#DIV/0!</v>
      </c>
    </row>
    <row r="34" spans="1:20" ht="12.75">
      <c r="A34">
        <v>200704</v>
      </c>
      <c r="B34" s="14"/>
      <c r="C34" s="13">
        <f>ROUND(B34*'electricity per guestroom'!$E$20,0)</f>
        <v>0</v>
      </c>
      <c r="D34" s="14"/>
      <c r="E34" s="13">
        <f>ROUND(D34*'electricity per conference room'!$B$12,0)</f>
        <v>0</v>
      </c>
      <c r="F34" s="69"/>
      <c r="G34" s="70"/>
      <c r="H34" s="68" t="e">
        <f t="shared" si="9"/>
        <v>#DIV/0!</v>
      </c>
      <c r="I34" s="35" t="e">
        <f t="shared" si="10"/>
        <v>#DIV/0!</v>
      </c>
      <c r="J34" s="35" t="e">
        <f t="shared" si="11"/>
        <v>#DIV/0!</v>
      </c>
      <c r="L34" s="14"/>
      <c r="M34" s="13">
        <f>ROUND(L34*'water per guest'!$F$15,0)</f>
        <v>0</v>
      </c>
      <c r="N34" s="69"/>
      <c r="O34" s="70"/>
      <c r="P34" s="68" t="e">
        <f t="shared" si="12"/>
        <v>#DIV/0!</v>
      </c>
      <c r="Q34" s="35" t="e">
        <f t="shared" si="13"/>
        <v>#DIV/0!</v>
      </c>
      <c r="R34" s="35" t="e">
        <f t="shared" si="14"/>
        <v>#DIV/0!</v>
      </c>
      <c r="T34" s="35" t="e">
        <f t="shared" si="15"/>
        <v>#DIV/0!</v>
      </c>
    </row>
    <row r="35" spans="1:20" ht="12.75">
      <c r="A35">
        <v>200705</v>
      </c>
      <c r="B35" s="14"/>
      <c r="C35" s="13">
        <f>ROUND(B35*'electricity per guestroom'!$E$20,0)</f>
        <v>0</v>
      </c>
      <c r="D35" s="14"/>
      <c r="E35" s="13">
        <f>ROUND(D35*'electricity per conference room'!$B$12,0)</f>
        <v>0</v>
      </c>
      <c r="F35" s="69"/>
      <c r="G35" s="70"/>
      <c r="H35" s="68" t="e">
        <f t="shared" si="9"/>
        <v>#DIV/0!</v>
      </c>
      <c r="I35" s="35" t="e">
        <f t="shared" si="10"/>
        <v>#DIV/0!</v>
      </c>
      <c r="J35" s="35" t="e">
        <f t="shared" si="11"/>
        <v>#DIV/0!</v>
      </c>
      <c r="L35" s="14"/>
      <c r="M35" s="13">
        <f>ROUND(L35*'water per guest'!$F$15,0)</f>
        <v>0</v>
      </c>
      <c r="N35" s="69"/>
      <c r="O35" s="70"/>
      <c r="P35" s="68" t="e">
        <f t="shared" si="12"/>
        <v>#DIV/0!</v>
      </c>
      <c r="Q35" s="35" t="e">
        <f t="shared" si="13"/>
        <v>#DIV/0!</v>
      </c>
      <c r="R35" s="35" t="e">
        <f t="shared" si="14"/>
        <v>#DIV/0!</v>
      </c>
      <c r="T35" s="35" t="e">
        <f t="shared" si="15"/>
        <v>#DIV/0!</v>
      </c>
    </row>
    <row r="36" spans="1:20" ht="12.75">
      <c r="A36">
        <v>200706</v>
      </c>
      <c r="B36" s="14"/>
      <c r="C36" s="13">
        <f>ROUND(B36*'electricity per guestroom'!$E$20,0)</f>
        <v>0</v>
      </c>
      <c r="D36" s="14"/>
      <c r="E36" s="13">
        <f>ROUND(D36*'electricity per conference room'!$B$12,0)</f>
        <v>0</v>
      </c>
      <c r="F36" s="69"/>
      <c r="G36" s="70"/>
      <c r="H36" s="68" t="e">
        <f t="shared" si="9"/>
        <v>#DIV/0!</v>
      </c>
      <c r="I36" s="35" t="e">
        <f t="shared" si="10"/>
        <v>#DIV/0!</v>
      </c>
      <c r="J36" s="35" t="e">
        <f t="shared" si="11"/>
        <v>#DIV/0!</v>
      </c>
      <c r="L36" s="14"/>
      <c r="M36" s="13">
        <f>ROUND(L36*'water per guest'!$F$15,0)</f>
        <v>0</v>
      </c>
      <c r="N36" s="69"/>
      <c r="O36" s="70"/>
      <c r="P36" s="68" t="e">
        <f t="shared" si="12"/>
        <v>#DIV/0!</v>
      </c>
      <c r="Q36" s="35" t="e">
        <f t="shared" si="13"/>
        <v>#DIV/0!</v>
      </c>
      <c r="R36" s="35" t="e">
        <f t="shared" si="14"/>
        <v>#DIV/0!</v>
      </c>
      <c r="T36" s="35" t="e">
        <f t="shared" si="15"/>
        <v>#DIV/0!</v>
      </c>
    </row>
    <row r="37" spans="1:20" ht="12.75">
      <c r="A37">
        <v>200707</v>
      </c>
      <c r="B37" s="14"/>
      <c r="C37" s="13">
        <f>ROUND(B37*'electricity per guestroom'!$E$20,0)</f>
        <v>0</v>
      </c>
      <c r="D37" s="14"/>
      <c r="E37" s="13">
        <f>ROUND(D37*'electricity per conference room'!$B$12,0)</f>
        <v>0</v>
      </c>
      <c r="F37" s="69"/>
      <c r="G37" s="70"/>
      <c r="H37" s="68" t="e">
        <f t="shared" si="9"/>
        <v>#DIV/0!</v>
      </c>
      <c r="I37" s="35" t="e">
        <f t="shared" si="10"/>
        <v>#DIV/0!</v>
      </c>
      <c r="J37" s="35" t="e">
        <f t="shared" si="11"/>
        <v>#DIV/0!</v>
      </c>
      <c r="L37" s="14"/>
      <c r="M37" s="13">
        <f>ROUND(L37*'water per guest'!$F$15,0)</f>
        <v>0</v>
      </c>
      <c r="N37" s="69"/>
      <c r="O37" s="70"/>
      <c r="P37" s="68" t="e">
        <f t="shared" si="12"/>
        <v>#DIV/0!</v>
      </c>
      <c r="Q37" s="35" t="e">
        <f t="shared" si="13"/>
        <v>#DIV/0!</v>
      </c>
      <c r="R37" s="35" t="e">
        <f t="shared" si="14"/>
        <v>#DIV/0!</v>
      </c>
      <c r="T37" s="35" t="e">
        <f t="shared" si="15"/>
        <v>#DIV/0!</v>
      </c>
    </row>
    <row r="38" spans="1:20" ht="12.75">
      <c r="A38">
        <v>200708</v>
      </c>
      <c r="B38" s="14"/>
      <c r="C38" s="13">
        <f>ROUND(B38*'electricity per guestroom'!$E$20,0)</f>
        <v>0</v>
      </c>
      <c r="D38" s="14"/>
      <c r="E38" s="13">
        <f>ROUND(D38*'electricity per conference room'!$B$12,0)</f>
        <v>0</v>
      </c>
      <c r="F38" s="69"/>
      <c r="G38" s="70"/>
      <c r="H38" s="68" t="e">
        <f t="shared" si="9"/>
        <v>#DIV/0!</v>
      </c>
      <c r="I38" s="35" t="e">
        <f t="shared" si="10"/>
        <v>#DIV/0!</v>
      </c>
      <c r="J38" s="35" t="e">
        <f t="shared" si="11"/>
        <v>#DIV/0!</v>
      </c>
      <c r="L38" s="14"/>
      <c r="M38" s="13">
        <f>ROUND(L38*'water per guest'!$F$15,0)</f>
        <v>0</v>
      </c>
      <c r="N38" s="69"/>
      <c r="O38" s="70"/>
      <c r="P38" s="68" t="e">
        <f t="shared" si="12"/>
        <v>#DIV/0!</v>
      </c>
      <c r="Q38" s="35" t="e">
        <f t="shared" si="13"/>
        <v>#DIV/0!</v>
      </c>
      <c r="R38" s="35" t="e">
        <f t="shared" si="14"/>
        <v>#DIV/0!</v>
      </c>
      <c r="T38" s="35" t="e">
        <f t="shared" si="15"/>
        <v>#DIV/0!</v>
      </c>
    </row>
    <row r="39" spans="1:20" ht="12.75">
      <c r="A39">
        <v>200709</v>
      </c>
      <c r="B39" s="14"/>
      <c r="C39" s="13">
        <f>ROUND(B39*'electricity per guestroom'!$E$20,0)</f>
        <v>0</v>
      </c>
      <c r="D39" s="14"/>
      <c r="E39" s="13">
        <f>ROUND(D39*'electricity per conference room'!$B$12,0)</f>
        <v>0</v>
      </c>
      <c r="F39" s="69"/>
      <c r="G39" s="70"/>
      <c r="H39" s="68" t="e">
        <f t="shared" si="9"/>
        <v>#DIV/0!</v>
      </c>
      <c r="I39" s="35" t="e">
        <f t="shared" si="10"/>
        <v>#DIV/0!</v>
      </c>
      <c r="J39" s="35" t="e">
        <f t="shared" si="11"/>
        <v>#DIV/0!</v>
      </c>
      <c r="L39" s="14"/>
      <c r="M39" s="13">
        <f>ROUND(L39*'water per guest'!$F$15,0)</f>
        <v>0</v>
      </c>
      <c r="N39" s="69"/>
      <c r="O39" s="70"/>
      <c r="P39" s="68" t="e">
        <f t="shared" si="12"/>
        <v>#DIV/0!</v>
      </c>
      <c r="Q39" s="35" t="e">
        <f t="shared" si="13"/>
        <v>#DIV/0!</v>
      </c>
      <c r="R39" s="35" t="e">
        <f t="shared" si="14"/>
        <v>#DIV/0!</v>
      </c>
      <c r="T39" s="35" t="e">
        <f t="shared" si="15"/>
        <v>#DIV/0!</v>
      </c>
    </row>
    <row r="40" spans="1:20" ht="12.75">
      <c r="A40">
        <v>200710</v>
      </c>
      <c r="B40" s="14"/>
      <c r="C40" s="13">
        <f>ROUND(B40*'electricity per guestroom'!$E$20,0)</f>
        <v>0</v>
      </c>
      <c r="D40" s="14"/>
      <c r="E40" s="13">
        <f>ROUND(D40*'electricity per conference room'!$B$12,0)</f>
        <v>0</v>
      </c>
      <c r="F40" s="69"/>
      <c r="G40" s="70"/>
      <c r="H40" s="68" t="e">
        <f t="shared" si="9"/>
        <v>#DIV/0!</v>
      </c>
      <c r="I40" s="35" t="e">
        <f t="shared" si="10"/>
        <v>#DIV/0!</v>
      </c>
      <c r="J40" s="35" t="e">
        <f t="shared" si="11"/>
        <v>#DIV/0!</v>
      </c>
      <c r="L40" s="14"/>
      <c r="M40" s="13">
        <f>ROUND(L40*'water per guest'!$F$15,0)</f>
        <v>0</v>
      </c>
      <c r="N40" s="69"/>
      <c r="O40" s="70"/>
      <c r="P40" s="68" t="e">
        <f t="shared" si="12"/>
        <v>#DIV/0!</v>
      </c>
      <c r="Q40" s="35" t="e">
        <f t="shared" si="13"/>
        <v>#DIV/0!</v>
      </c>
      <c r="R40" s="35" t="e">
        <f t="shared" si="14"/>
        <v>#DIV/0!</v>
      </c>
      <c r="T40" s="35" t="e">
        <f t="shared" si="15"/>
        <v>#DIV/0!</v>
      </c>
    </row>
    <row r="41" spans="1:20" ht="12.75">
      <c r="A41">
        <v>200711</v>
      </c>
      <c r="B41" s="14"/>
      <c r="C41" s="13">
        <f>ROUND(B41*'electricity per guestroom'!$E$20,0)</f>
        <v>0</v>
      </c>
      <c r="D41" s="14"/>
      <c r="E41" s="13">
        <f>ROUND(D41*'electricity per conference room'!$B$12,0)</f>
        <v>0</v>
      </c>
      <c r="F41" s="69"/>
      <c r="G41" s="70"/>
      <c r="H41" s="68" t="e">
        <f t="shared" si="9"/>
        <v>#DIV/0!</v>
      </c>
      <c r="I41" s="35" t="e">
        <f t="shared" si="10"/>
        <v>#DIV/0!</v>
      </c>
      <c r="J41" s="35" t="e">
        <f t="shared" si="11"/>
        <v>#DIV/0!</v>
      </c>
      <c r="L41" s="14"/>
      <c r="M41" s="13">
        <f>ROUND(L41*'water per guest'!$F$15,0)</f>
        <v>0</v>
      </c>
      <c r="N41" s="69"/>
      <c r="O41" s="70"/>
      <c r="P41" s="68" t="e">
        <f t="shared" si="12"/>
        <v>#DIV/0!</v>
      </c>
      <c r="Q41" s="35" t="e">
        <f t="shared" si="13"/>
        <v>#DIV/0!</v>
      </c>
      <c r="R41" s="35" t="e">
        <f t="shared" si="14"/>
        <v>#DIV/0!</v>
      </c>
      <c r="T41" s="35" t="e">
        <f t="shared" si="15"/>
        <v>#DIV/0!</v>
      </c>
    </row>
    <row r="42" spans="1:20" ht="12.75">
      <c r="A42">
        <v>200712</v>
      </c>
      <c r="B42" s="14"/>
      <c r="C42" s="13">
        <f>ROUND(B42*'electricity per guestroom'!$E$20,0)</f>
        <v>0</v>
      </c>
      <c r="D42" s="14"/>
      <c r="E42" s="13">
        <f>ROUND(D42*'electricity per conference room'!$B$12,0)</f>
        <v>0</v>
      </c>
      <c r="F42" s="69"/>
      <c r="G42" s="70"/>
      <c r="H42" s="68" t="e">
        <f t="shared" si="9"/>
        <v>#DIV/0!</v>
      </c>
      <c r="I42" s="35" t="e">
        <f t="shared" si="10"/>
        <v>#DIV/0!</v>
      </c>
      <c r="J42" s="35" t="e">
        <f t="shared" si="11"/>
        <v>#DIV/0!</v>
      </c>
      <c r="L42" s="14"/>
      <c r="M42" s="13">
        <f>ROUND(L42*'water per guest'!$F$15,0)</f>
        <v>0</v>
      </c>
      <c r="N42" s="69"/>
      <c r="O42" s="70"/>
      <c r="P42" s="68" t="e">
        <f t="shared" si="12"/>
        <v>#DIV/0!</v>
      </c>
      <c r="Q42" s="35" t="e">
        <f t="shared" si="13"/>
        <v>#DIV/0!</v>
      </c>
      <c r="R42" s="35" t="e">
        <f t="shared" si="14"/>
        <v>#DIV/0!</v>
      </c>
      <c r="T42" s="35" t="e">
        <f t="shared" si="15"/>
        <v>#DIV/0!</v>
      </c>
    </row>
    <row r="43" spans="1:20" ht="12.75">
      <c r="A43" t="s">
        <v>35</v>
      </c>
      <c r="B43" s="15">
        <f aca="true" t="shared" si="16" ref="B43:G43">SUM(B31:B42)</f>
        <v>0</v>
      </c>
      <c r="C43" s="15">
        <f t="shared" si="16"/>
        <v>0</v>
      </c>
      <c r="D43" s="15">
        <f t="shared" si="16"/>
        <v>0</v>
      </c>
      <c r="E43" s="15">
        <f t="shared" si="16"/>
        <v>0</v>
      </c>
      <c r="F43" s="15">
        <f t="shared" si="16"/>
        <v>0</v>
      </c>
      <c r="G43" s="67">
        <f t="shared" si="16"/>
        <v>0</v>
      </c>
      <c r="I43" s="67" t="e">
        <f>SUM(I31:I42)</f>
        <v>#DIV/0!</v>
      </c>
      <c r="J43" s="67" t="e">
        <f>SUM(J31:J42)</f>
        <v>#DIV/0!</v>
      </c>
      <c r="L43" s="15">
        <f>SUM(L31:L42)</f>
        <v>0</v>
      </c>
      <c r="M43" s="15">
        <f>SUM(M31:M42)</f>
        <v>0</v>
      </c>
      <c r="N43" s="15">
        <f>SUM(N31:N42)</f>
        <v>0</v>
      </c>
      <c r="O43" s="67">
        <f>SUM(O31:O42)</f>
        <v>0</v>
      </c>
      <c r="Q43" s="67" t="e">
        <f>SUM(Q31:Q42)</f>
        <v>#DIV/0!</v>
      </c>
      <c r="R43" s="67" t="e">
        <f>SUM(R31:R42)</f>
        <v>#DIV/0!</v>
      </c>
      <c r="T43" s="67" t="e">
        <f>SUM(T31:T42)</f>
        <v>#DIV/0!</v>
      </c>
    </row>
    <row r="44" spans="2:12" ht="12.75">
      <c r="B44" s="39"/>
      <c r="D44" s="39"/>
      <c r="L44" s="39"/>
    </row>
    <row r="45" spans="1:20" ht="12.75">
      <c r="A45">
        <v>200801</v>
      </c>
      <c r="B45" s="14"/>
      <c r="C45" s="13">
        <f>ROUND(B45*'electricity per guestroom'!$E$20,0)</f>
        <v>0</v>
      </c>
      <c r="D45" s="14"/>
      <c r="E45" s="13">
        <f>ROUND(D45*'electricity per conference room'!$B$12,0)</f>
        <v>0</v>
      </c>
      <c r="F45" s="69"/>
      <c r="G45" s="70"/>
      <c r="H45" s="68" t="e">
        <f aca="true" t="shared" si="17" ref="H45:H56">ROUND(G45/F45,3)</f>
        <v>#DIV/0!</v>
      </c>
      <c r="I45" s="35" t="e">
        <f aca="true" t="shared" si="18" ref="I45:I56">ROUND((C45+E45)*H45,2)</f>
        <v>#DIV/0!</v>
      </c>
      <c r="J45" s="35" t="e">
        <f aca="true" t="shared" si="19" ref="J45:J56">+G45-I45</f>
        <v>#DIV/0!</v>
      </c>
      <c r="L45" s="14"/>
      <c r="M45" s="13">
        <f>ROUND(L45*'water per guest'!$F$15,0)</f>
        <v>0</v>
      </c>
      <c r="N45" s="69"/>
      <c r="O45" s="70"/>
      <c r="P45" s="68" t="e">
        <f aca="true" t="shared" si="20" ref="P45:P56">ROUND(O45/N45,3)</f>
        <v>#DIV/0!</v>
      </c>
      <c r="Q45" s="35" t="e">
        <f aca="true" t="shared" si="21" ref="Q45:Q56">ROUND(M45*P45,2)</f>
        <v>#DIV/0!</v>
      </c>
      <c r="R45" s="35" t="e">
        <f aca="true" t="shared" si="22" ref="R45:R56">+O45-Q45</f>
        <v>#DIV/0!</v>
      </c>
      <c r="T45" s="35" t="e">
        <f aca="true" t="shared" si="23" ref="T45:T56">+J45+R45</f>
        <v>#DIV/0!</v>
      </c>
    </row>
    <row r="46" spans="1:20" ht="12.75">
      <c r="A46">
        <v>200802</v>
      </c>
      <c r="B46" s="14"/>
      <c r="C46" s="13">
        <f>ROUND(B46*'electricity per guestroom'!$E$20,0)</f>
        <v>0</v>
      </c>
      <c r="D46" s="14"/>
      <c r="E46" s="13">
        <f>ROUND(D46*'electricity per conference room'!$B$12,0)</f>
        <v>0</v>
      </c>
      <c r="F46" s="69"/>
      <c r="G46" s="70"/>
      <c r="H46" s="68" t="e">
        <f t="shared" si="17"/>
        <v>#DIV/0!</v>
      </c>
      <c r="I46" s="35" t="e">
        <f t="shared" si="18"/>
        <v>#DIV/0!</v>
      </c>
      <c r="J46" s="35" t="e">
        <f t="shared" si="19"/>
        <v>#DIV/0!</v>
      </c>
      <c r="L46" s="14"/>
      <c r="M46" s="13">
        <f>ROUND(L46*'water per guest'!$F$15,0)</f>
        <v>0</v>
      </c>
      <c r="N46" s="69"/>
      <c r="O46" s="70"/>
      <c r="P46" s="68" t="e">
        <f t="shared" si="20"/>
        <v>#DIV/0!</v>
      </c>
      <c r="Q46" s="35" t="e">
        <f t="shared" si="21"/>
        <v>#DIV/0!</v>
      </c>
      <c r="R46" s="35" t="e">
        <f t="shared" si="22"/>
        <v>#DIV/0!</v>
      </c>
      <c r="T46" s="35" t="e">
        <f t="shared" si="23"/>
        <v>#DIV/0!</v>
      </c>
    </row>
    <row r="47" spans="1:20" ht="12.75">
      <c r="A47">
        <v>200803</v>
      </c>
      <c r="B47" s="14"/>
      <c r="C47" s="13">
        <f>ROUND(B47*'electricity per guestroom'!$E$20,0)</f>
        <v>0</v>
      </c>
      <c r="D47" s="14"/>
      <c r="E47" s="13">
        <f>ROUND(D47*'electricity per conference room'!$B$12,0)</f>
        <v>0</v>
      </c>
      <c r="F47" s="69"/>
      <c r="G47" s="70"/>
      <c r="H47" s="68" t="e">
        <f t="shared" si="17"/>
        <v>#DIV/0!</v>
      </c>
      <c r="I47" s="35" t="e">
        <f t="shared" si="18"/>
        <v>#DIV/0!</v>
      </c>
      <c r="J47" s="35" t="e">
        <f t="shared" si="19"/>
        <v>#DIV/0!</v>
      </c>
      <c r="L47" s="14"/>
      <c r="M47" s="13">
        <f>ROUND(L47*'water per guest'!$F$15,0)</f>
        <v>0</v>
      </c>
      <c r="N47" s="69"/>
      <c r="O47" s="70"/>
      <c r="P47" s="68" t="e">
        <f t="shared" si="20"/>
        <v>#DIV/0!</v>
      </c>
      <c r="Q47" s="35" t="e">
        <f t="shared" si="21"/>
        <v>#DIV/0!</v>
      </c>
      <c r="R47" s="35" t="e">
        <f t="shared" si="22"/>
        <v>#DIV/0!</v>
      </c>
      <c r="T47" s="35" t="e">
        <f t="shared" si="23"/>
        <v>#DIV/0!</v>
      </c>
    </row>
    <row r="48" spans="1:20" ht="12.75">
      <c r="A48">
        <v>200804</v>
      </c>
      <c r="B48" s="14"/>
      <c r="C48" s="13">
        <f>ROUND(B48*'electricity per guestroom'!$E$20,0)</f>
        <v>0</v>
      </c>
      <c r="D48" s="14"/>
      <c r="E48" s="13">
        <f>ROUND(D48*'electricity per conference room'!$B$12,0)</f>
        <v>0</v>
      </c>
      <c r="F48" s="69"/>
      <c r="G48" s="70"/>
      <c r="H48" s="68" t="e">
        <f t="shared" si="17"/>
        <v>#DIV/0!</v>
      </c>
      <c r="I48" s="35" t="e">
        <f t="shared" si="18"/>
        <v>#DIV/0!</v>
      </c>
      <c r="J48" s="35" t="e">
        <f t="shared" si="19"/>
        <v>#DIV/0!</v>
      </c>
      <c r="L48" s="14"/>
      <c r="M48" s="13">
        <f>ROUND(L48*'water per guest'!$F$15,0)</f>
        <v>0</v>
      </c>
      <c r="N48" s="69"/>
      <c r="O48" s="70"/>
      <c r="P48" s="68" t="e">
        <f t="shared" si="20"/>
        <v>#DIV/0!</v>
      </c>
      <c r="Q48" s="35" t="e">
        <f t="shared" si="21"/>
        <v>#DIV/0!</v>
      </c>
      <c r="R48" s="35" t="e">
        <f t="shared" si="22"/>
        <v>#DIV/0!</v>
      </c>
      <c r="T48" s="35" t="e">
        <f t="shared" si="23"/>
        <v>#DIV/0!</v>
      </c>
    </row>
    <row r="49" spans="1:20" ht="12.75">
      <c r="A49">
        <v>200805</v>
      </c>
      <c r="B49" s="14"/>
      <c r="C49" s="13">
        <f>ROUND(B49*'electricity per guestroom'!$E$20,0)</f>
        <v>0</v>
      </c>
      <c r="D49" s="14"/>
      <c r="E49" s="13">
        <f>ROUND(D49*'electricity per conference room'!$B$12,0)</f>
        <v>0</v>
      </c>
      <c r="F49" s="69"/>
      <c r="G49" s="70"/>
      <c r="H49" s="68" t="e">
        <f t="shared" si="17"/>
        <v>#DIV/0!</v>
      </c>
      <c r="I49" s="35" t="e">
        <f t="shared" si="18"/>
        <v>#DIV/0!</v>
      </c>
      <c r="J49" s="35" t="e">
        <f t="shared" si="19"/>
        <v>#DIV/0!</v>
      </c>
      <c r="L49" s="14"/>
      <c r="M49" s="13">
        <f>ROUND(L49*'water per guest'!$F$15,0)</f>
        <v>0</v>
      </c>
      <c r="N49" s="69"/>
      <c r="O49" s="70"/>
      <c r="P49" s="68" t="e">
        <f t="shared" si="20"/>
        <v>#DIV/0!</v>
      </c>
      <c r="Q49" s="35" t="e">
        <f t="shared" si="21"/>
        <v>#DIV/0!</v>
      </c>
      <c r="R49" s="35" t="e">
        <f t="shared" si="22"/>
        <v>#DIV/0!</v>
      </c>
      <c r="T49" s="35" t="e">
        <f t="shared" si="23"/>
        <v>#DIV/0!</v>
      </c>
    </row>
    <row r="50" spans="1:20" ht="12.75">
      <c r="A50">
        <v>200806</v>
      </c>
      <c r="B50" s="14"/>
      <c r="C50" s="13">
        <f>ROUND(B50*'electricity per guestroom'!$E$20,0)</f>
        <v>0</v>
      </c>
      <c r="D50" s="14"/>
      <c r="E50" s="13">
        <f>ROUND(D50*'electricity per conference room'!$B$12,0)</f>
        <v>0</v>
      </c>
      <c r="F50" s="69"/>
      <c r="G50" s="70"/>
      <c r="H50" s="68" t="e">
        <f t="shared" si="17"/>
        <v>#DIV/0!</v>
      </c>
      <c r="I50" s="35" t="e">
        <f t="shared" si="18"/>
        <v>#DIV/0!</v>
      </c>
      <c r="J50" s="35" t="e">
        <f t="shared" si="19"/>
        <v>#DIV/0!</v>
      </c>
      <c r="L50" s="14"/>
      <c r="M50" s="13">
        <f>ROUND(L50*'water per guest'!$F$15,0)</f>
        <v>0</v>
      </c>
      <c r="N50" s="69"/>
      <c r="O50" s="70"/>
      <c r="P50" s="68" t="e">
        <f t="shared" si="20"/>
        <v>#DIV/0!</v>
      </c>
      <c r="Q50" s="35" t="e">
        <f t="shared" si="21"/>
        <v>#DIV/0!</v>
      </c>
      <c r="R50" s="35" t="e">
        <f t="shared" si="22"/>
        <v>#DIV/0!</v>
      </c>
      <c r="T50" s="35" t="e">
        <f t="shared" si="23"/>
        <v>#DIV/0!</v>
      </c>
    </row>
    <row r="51" spans="1:20" ht="12.75">
      <c r="A51">
        <v>200807</v>
      </c>
      <c r="B51" s="14"/>
      <c r="C51" s="13">
        <f>ROUND(B51*'electricity per guestroom'!$E$20,0)</f>
        <v>0</v>
      </c>
      <c r="D51" s="14"/>
      <c r="E51" s="13">
        <f>ROUND(D51*'electricity per conference room'!$B$12,0)</f>
        <v>0</v>
      </c>
      <c r="F51" s="69"/>
      <c r="G51" s="70"/>
      <c r="H51" s="68" t="e">
        <f t="shared" si="17"/>
        <v>#DIV/0!</v>
      </c>
      <c r="I51" s="35" t="e">
        <f t="shared" si="18"/>
        <v>#DIV/0!</v>
      </c>
      <c r="J51" s="35" t="e">
        <f t="shared" si="19"/>
        <v>#DIV/0!</v>
      </c>
      <c r="L51" s="14"/>
      <c r="M51" s="13">
        <f>ROUND(L51*'water per guest'!$F$15,0)</f>
        <v>0</v>
      </c>
      <c r="N51" s="69"/>
      <c r="O51" s="70"/>
      <c r="P51" s="68" t="e">
        <f t="shared" si="20"/>
        <v>#DIV/0!</v>
      </c>
      <c r="Q51" s="35" t="e">
        <f t="shared" si="21"/>
        <v>#DIV/0!</v>
      </c>
      <c r="R51" s="35" t="e">
        <f t="shared" si="22"/>
        <v>#DIV/0!</v>
      </c>
      <c r="T51" s="35" t="e">
        <f t="shared" si="23"/>
        <v>#DIV/0!</v>
      </c>
    </row>
    <row r="52" spans="1:20" ht="12.75">
      <c r="A52">
        <v>200808</v>
      </c>
      <c r="B52" s="14"/>
      <c r="C52" s="13">
        <f>ROUND(B52*'electricity per guestroom'!$E$20,0)</f>
        <v>0</v>
      </c>
      <c r="D52" s="14"/>
      <c r="E52" s="13">
        <f>ROUND(D52*'electricity per conference room'!$B$12,0)</f>
        <v>0</v>
      </c>
      <c r="F52" s="69"/>
      <c r="G52" s="70"/>
      <c r="H52" s="68" t="e">
        <f t="shared" si="17"/>
        <v>#DIV/0!</v>
      </c>
      <c r="I52" s="35" t="e">
        <f t="shared" si="18"/>
        <v>#DIV/0!</v>
      </c>
      <c r="J52" s="35" t="e">
        <f t="shared" si="19"/>
        <v>#DIV/0!</v>
      </c>
      <c r="L52" s="14"/>
      <c r="M52" s="13">
        <f>ROUND(L52*'water per guest'!$F$15,0)</f>
        <v>0</v>
      </c>
      <c r="N52" s="69"/>
      <c r="O52" s="70"/>
      <c r="P52" s="68" t="e">
        <f t="shared" si="20"/>
        <v>#DIV/0!</v>
      </c>
      <c r="Q52" s="35" t="e">
        <f t="shared" si="21"/>
        <v>#DIV/0!</v>
      </c>
      <c r="R52" s="35" t="e">
        <f t="shared" si="22"/>
        <v>#DIV/0!</v>
      </c>
      <c r="T52" s="35" t="e">
        <f t="shared" si="23"/>
        <v>#DIV/0!</v>
      </c>
    </row>
    <row r="53" spans="1:20" ht="12.75">
      <c r="A53">
        <v>200809</v>
      </c>
      <c r="B53" s="14"/>
      <c r="C53" s="13">
        <f>ROUND(B53*'electricity per guestroom'!$E$20,0)</f>
        <v>0</v>
      </c>
      <c r="D53" s="14"/>
      <c r="E53" s="13">
        <f>ROUND(D53*'electricity per conference room'!$B$12,0)</f>
        <v>0</v>
      </c>
      <c r="F53" s="69"/>
      <c r="G53" s="70"/>
      <c r="H53" s="68" t="e">
        <f t="shared" si="17"/>
        <v>#DIV/0!</v>
      </c>
      <c r="I53" s="35" t="e">
        <f t="shared" si="18"/>
        <v>#DIV/0!</v>
      </c>
      <c r="J53" s="35" t="e">
        <f t="shared" si="19"/>
        <v>#DIV/0!</v>
      </c>
      <c r="L53" s="14"/>
      <c r="M53" s="13">
        <f>ROUND(L53*'water per guest'!$F$15,0)</f>
        <v>0</v>
      </c>
      <c r="N53" s="69"/>
      <c r="O53" s="70"/>
      <c r="P53" s="68" t="e">
        <f t="shared" si="20"/>
        <v>#DIV/0!</v>
      </c>
      <c r="Q53" s="35" t="e">
        <f t="shared" si="21"/>
        <v>#DIV/0!</v>
      </c>
      <c r="R53" s="35" t="e">
        <f t="shared" si="22"/>
        <v>#DIV/0!</v>
      </c>
      <c r="T53" s="35" t="e">
        <f t="shared" si="23"/>
        <v>#DIV/0!</v>
      </c>
    </row>
    <row r="54" spans="1:20" ht="12.75">
      <c r="A54">
        <v>200810</v>
      </c>
      <c r="B54" s="14"/>
      <c r="C54" s="13">
        <f>ROUND(B54*'electricity per guestroom'!$E$20,0)</f>
        <v>0</v>
      </c>
      <c r="D54" s="14"/>
      <c r="E54" s="13">
        <f>ROUND(D54*'electricity per conference room'!$B$12,0)</f>
        <v>0</v>
      </c>
      <c r="F54" s="69"/>
      <c r="G54" s="70"/>
      <c r="H54" s="68" t="e">
        <f t="shared" si="17"/>
        <v>#DIV/0!</v>
      </c>
      <c r="I54" s="35" t="e">
        <f t="shared" si="18"/>
        <v>#DIV/0!</v>
      </c>
      <c r="J54" s="35" t="e">
        <f t="shared" si="19"/>
        <v>#DIV/0!</v>
      </c>
      <c r="L54" s="14"/>
      <c r="M54" s="13">
        <f>ROUND(L54*'water per guest'!$F$15,0)</f>
        <v>0</v>
      </c>
      <c r="N54" s="69"/>
      <c r="O54" s="70"/>
      <c r="P54" s="68" t="e">
        <f t="shared" si="20"/>
        <v>#DIV/0!</v>
      </c>
      <c r="Q54" s="35" t="e">
        <f t="shared" si="21"/>
        <v>#DIV/0!</v>
      </c>
      <c r="R54" s="35" t="e">
        <f t="shared" si="22"/>
        <v>#DIV/0!</v>
      </c>
      <c r="T54" s="35" t="e">
        <f t="shared" si="23"/>
        <v>#DIV/0!</v>
      </c>
    </row>
    <row r="55" spans="1:20" ht="12.75">
      <c r="A55">
        <v>200811</v>
      </c>
      <c r="B55" s="14"/>
      <c r="C55" s="13">
        <f>ROUND(B55*'electricity per guestroom'!$E$20,0)</f>
        <v>0</v>
      </c>
      <c r="D55" s="14"/>
      <c r="E55" s="13">
        <f>ROUND(D55*'electricity per conference room'!$B$12,0)</f>
        <v>0</v>
      </c>
      <c r="F55" s="69"/>
      <c r="G55" s="70"/>
      <c r="H55" s="68" t="e">
        <f t="shared" si="17"/>
        <v>#DIV/0!</v>
      </c>
      <c r="I55" s="35" t="e">
        <f t="shared" si="18"/>
        <v>#DIV/0!</v>
      </c>
      <c r="J55" s="35" t="e">
        <f t="shared" si="19"/>
        <v>#DIV/0!</v>
      </c>
      <c r="L55" s="14"/>
      <c r="M55" s="13">
        <f>ROUND(L55*'water per guest'!$F$15,0)</f>
        <v>0</v>
      </c>
      <c r="N55" s="69"/>
      <c r="O55" s="70"/>
      <c r="P55" s="68" t="e">
        <f t="shared" si="20"/>
        <v>#DIV/0!</v>
      </c>
      <c r="Q55" s="35" t="e">
        <f t="shared" si="21"/>
        <v>#DIV/0!</v>
      </c>
      <c r="R55" s="35" t="e">
        <f t="shared" si="22"/>
        <v>#DIV/0!</v>
      </c>
      <c r="T55" s="35" t="e">
        <f t="shared" si="23"/>
        <v>#DIV/0!</v>
      </c>
    </row>
    <row r="56" spans="1:20" ht="12.75">
      <c r="A56">
        <v>200812</v>
      </c>
      <c r="B56" s="14"/>
      <c r="C56" s="13">
        <f>ROUND(B56*'electricity per guestroom'!$E$20,0)</f>
        <v>0</v>
      </c>
      <c r="D56" s="14"/>
      <c r="E56" s="13">
        <f>ROUND(D56*'electricity per conference room'!$B$12,0)</f>
        <v>0</v>
      </c>
      <c r="F56" s="69"/>
      <c r="G56" s="70"/>
      <c r="H56" s="68" t="e">
        <f t="shared" si="17"/>
        <v>#DIV/0!</v>
      </c>
      <c r="I56" s="35" t="e">
        <f t="shared" si="18"/>
        <v>#DIV/0!</v>
      </c>
      <c r="J56" s="35" t="e">
        <f t="shared" si="19"/>
        <v>#DIV/0!</v>
      </c>
      <c r="L56" s="14"/>
      <c r="M56" s="13">
        <f>ROUND(L56*'water per guest'!$F$15,0)</f>
        <v>0</v>
      </c>
      <c r="N56" s="69"/>
      <c r="O56" s="70"/>
      <c r="P56" s="68" t="e">
        <f t="shared" si="20"/>
        <v>#DIV/0!</v>
      </c>
      <c r="Q56" s="35" t="e">
        <f t="shared" si="21"/>
        <v>#DIV/0!</v>
      </c>
      <c r="R56" s="35" t="e">
        <f t="shared" si="22"/>
        <v>#DIV/0!</v>
      </c>
      <c r="T56" s="35" t="e">
        <f t="shared" si="23"/>
        <v>#DIV/0!</v>
      </c>
    </row>
    <row r="57" spans="1:20" ht="12.75">
      <c r="A57" t="s">
        <v>35</v>
      </c>
      <c r="B57" s="15">
        <f aca="true" t="shared" si="24" ref="B57:G57">SUM(B45:B56)</f>
        <v>0</v>
      </c>
      <c r="C57" s="15">
        <f t="shared" si="24"/>
        <v>0</v>
      </c>
      <c r="D57" s="15">
        <f t="shared" si="24"/>
        <v>0</v>
      </c>
      <c r="E57" s="15">
        <f t="shared" si="24"/>
        <v>0</v>
      </c>
      <c r="F57" s="15">
        <f t="shared" si="24"/>
        <v>0</v>
      </c>
      <c r="G57" s="67">
        <f t="shared" si="24"/>
        <v>0</v>
      </c>
      <c r="I57" s="67" t="e">
        <f>SUM(I45:I56)</f>
        <v>#DIV/0!</v>
      </c>
      <c r="J57" s="67" t="e">
        <f>SUM(J45:J56)</f>
        <v>#DIV/0!</v>
      </c>
      <c r="L57" s="15">
        <f>SUM(L45:L56)</f>
        <v>0</v>
      </c>
      <c r="M57" s="15">
        <f>SUM(M45:M56)</f>
        <v>0</v>
      </c>
      <c r="N57" s="15">
        <f>SUM(N45:N56)</f>
        <v>0</v>
      </c>
      <c r="O57" s="67">
        <f>SUM(O45:O56)</f>
        <v>0</v>
      </c>
      <c r="Q57" s="67" t="e">
        <f>SUM(Q45:Q56)</f>
        <v>#DIV/0!</v>
      </c>
      <c r="R57" s="67" t="e">
        <f>SUM(R45:R56)</f>
        <v>#DIV/0!</v>
      </c>
      <c r="T57" s="67" t="e">
        <f>SUM(T45:T56)</f>
        <v>#DIV/0!</v>
      </c>
    </row>
    <row r="58" ht="12.75">
      <c r="D58"/>
    </row>
    <row r="59" spans="1:20" ht="12.75">
      <c r="A59">
        <v>200901</v>
      </c>
      <c r="B59" s="14"/>
      <c r="C59" s="13">
        <f>ROUND(B59*'electricity per guestroom'!$E$20,0)</f>
        <v>0</v>
      </c>
      <c r="D59" s="14"/>
      <c r="E59" s="13">
        <f>ROUND(D59*'electricity per conference room'!$B$12,0)</f>
        <v>0</v>
      </c>
      <c r="F59" s="69"/>
      <c r="G59" s="70"/>
      <c r="H59" s="68" t="e">
        <f aca="true" t="shared" si="25" ref="H59:H70">ROUND(G59/F59,3)</f>
        <v>#DIV/0!</v>
      </c>
      <c r="I59" s="35" t="e">
        <f aca="true" t="shared" si="26" ref="I59:I70">ROUND((C59+E59)*H59,2)</f>
        <v>#DIV/0!</v>
      </c>
      <c r="J59" s="35" t="e">
        <f aca="true" t="shared" si="27" ref="J59:J70">+G59-I59</f>
        <v>#DIV/0!</v>
      </c>
      <c r="L59" s="14"/>
      <c r="M59" s="13">
        <f>ROUND(L59*'water per guest'!$F$15,0)</f>
        <v>0</v>
      </c>
      <c r="N59" s="69"/>
      <c r="O59" s="70"/>
      <c r="P59" s="68" t="e">
        <f aca="true" t="shared" si="28" ref="P59:P70">ROUND(O59/N59,3)</f>
        <v>#DIV/0!</v>
      </c>
      <c r="Q59" s="35" t="e">
        <f aca="true" t="shared" si="29" ref="Q59:Q70">ROUND(M59*P59,2)</f>
        <v>#DIV/0!</v>
      </c>
      <c r="R59" s="35" t="e">
        <f aca="true" t="shared" si="30" ref="R59:R70">+O59-Q59</f>
        <v>#DIV/0!</v>
      </c>
      <c r="T59" s="35" t="e">
        <f aca="true" t="shared" si="31" ref="T59:T70">+J59+R59</f>
        <v>#DIV/0!</v>
      </c>
    </row>
    <row r="60" spans="1:20" ht="12.75">
      <c r="A60">
        <v>200902</v>
      </c>
      <c r="B60" s="14"/>
      <c r="C60" s="13">
        <f>ROUND(B60*'electricity per guestroom'!$E$20,0)</f>
        <v>0</v>
      </c>
      <c r="D60" s="14"/>
      <c r="E60" s="13">
        <f>ROUND(D60*'electricity per conference room'!$B$12,0)</f>
        <v>0</v>
      </c>
      <c r="F60" s="69"/>
      <c r="G60" s="70"/>
      <c r="H60" s="68" t="e">
        <f t="shared" si="25"/>
        <v>#DIV/0!</v>
      </c>
      <c r="I60" s="35" t="e">
        <f t="shared" si="26"/>
        <v>#DIV/0!</v>
      </c>
      <c r="J60" s="35" t="e">
        <f t="shared" si="27"/>
        <v>#DIV/0!</v>
      </c>
      <c r="L60" s="14"/>
      <c r="M60" s="13">
        <f>ROUND(L60*'water per guest'!$F$15,0)</f>
        <v>0</v>
      </c>
      <c r="N60" s="69"/>
      <c r="O60" s="70"/>
      <c r="P60" s="68" t="e">
        <f t="shared" si="28"/>
        <v>#DIV/0!</v>
      </c>
      <c r="Q60" s="35" t="e">
        <f t="shared" si="29"/>
        <v>#DIV/0!</v>
      </c>
      <c r="R60" s="35" t="e">
        <f t="shared" si="30"/>
        <v>#DIV/0!</v>
      </c>
      <c r="T60" s="35" t="e">
        <f t="shared" si="31"/>
        <v>#DIV/0!</v>
      </c>
    </row>
    <row r="61" spans="1:20" ht="12.75">
      <c r="A61">
        <v>200903</v>
      </c>
      <c r="B61" s="14"/>
      <c r="C61" s="13">
        <f>ROUND(B61*'electricity per guestroom'!$E$20,0)</f>
        <v>0</v>
      </c>
      <c r="D61" s="14"/>
      <c r="E61" s="13">
        <f>ROUND(D61*'electricity per conference room'!$B$12,0)</f>
        <v>0</v>
      </c>
      <c r="F61" s="69"/>
      <c r="G61" s="70"/>
      <c r="H61" s="68" t="e">
        <f t="shared" si="25"/>
        <v>#DIV/0!</v>
      </c>
      <c r="I61" s="35" t="e">
        <f t="shared" si="26"/>
        <v>#DIV/0!</v>
      </c>
      <c r="J61" s="35" t="e">
        <f t="shared" si="27"/>
        <v>#DIV/0!</v>
      </c>
      <c r="L61" s="14"/>
      <c r="M61" s="13">
        <f>ROUND(L61*'water per guest'!$F$15,0)</f>
        <v>0</v>
      </c>
      <c r="N61" s="69"/>
      <c r="O61" s="70"/>
      <c r="P61" s="68" t="e">
        <f t="shared" si="28"/>
        <v>#DIV/0!</v>
      </c>
      <c r="Q61" s="35" t="e">
        <f t="shared" si="29"/>
        <v>#DIV/0!</v>
      </c>
      <c r="R61" s="35" t="e">
        <f t="shared" si="30"/>
        <v>#DIV/0!</v>
      </c>
      <c r="T61" s="35" t="e">
        <f t="shared" si="31"/>
        <v>#DIV/0!</v>
      </c>
    </row>
    <row r="62" spans="1:20" ht="12.75">
      <c r="A62">
        <v>200904</v>
      </c>
      <c r="B62" s="14"/>
      <c r="C62" s="13">
        <f>ROUND(B62*'electricity per guestroom'!$E$20,0)</f>
        <v>0</v>
      </c>
      <c r="D62" s="14"/>
      <c r="E62" s="13">
        <f>ROUND(D62*'electricity per conference room'!$B$12,0)</f>
        <v>0</v>
      </c>
      <c r="F62" s="69"/>
      <c r="G62" s="70"/>
      <c r="H62" s="68" t="e">
        <f t="shared" si="25"/>
        <v>#DIV/0!</v>
      </c>
      <c r="I62" s="35" t="e">
        <f t="shared" si="26"/>
        <v>#DIV/0!</v>
      </c>
      <c r="J62" s="35" t="e">
        <f t="shared" si="27"/>
        <v>#DIV/0!</v>
      </c>
      <c r="L62" s="14"/>
      <c r="M62" s="13">
        <f>ROUND(L62*'water per guest'!$F$15,0)</f>
        <v>0</v>
      </c>
      <c r="N62" s="69"/>
      <c r="O62" s="70"/>
      <c r="P62" s="68" t="e">
        <f t="shared" si="28"/>
        <v>#DIV/0!</v>
      </c>
      <c r="Q62" s="35" t="e">
        <f t="shared" si="29"/>
        <v>#DIV/0!</v>
      </c>
      <c r="R62" s="35" t="e">
        <f t="shared" si="30"/>
        <v>#DIV/0!</v>
      </c>
      <c r="T62" s="35" t="e">
        <f t="shared" si="31"/>
        <v>#DIV/0!</v>
      </c>
    </row>
    <row r="63" spans="1:20" ht="12.75">
      <c r="A63">
        <v>200905</v>
      </c>
      <c r="B63" s="14"/>
      <c r="C63" s="13">
        <f>ROUND(B63*'electricity per guestroom'!$E$20,0)</f>
        <v>0</v>
      </c>
      <c r="D63" s="14"/>
      <c r="E63" s="13">
        <f>ROUND(D63*'electricity per conference room'!$B$12,0)</f>
        <v>0</v>
      </c>
      <c r="F63" s="69"/>
      <c r="G63" s="70"/>
      <c r="H63" s="68" t="e">
        <f t="shared" si="25"/>
        <v>#DIV/0!</v>
      </c>
      <c r="I63" s="35" t="e">
        <f t="shared" si="26"/>
        <v>#DIV/0!</v>
      </c>
      <c r="J63" s="35" t="e">
        <f t="shared" si="27"/>
        <v>#DIV/0!</v>
      </c>
      <c r="L63" s="14"/>
      <c r="M63" s="13">
        <f>ROUND(L63*'water per guest'!$F$15,0)</f>
        <v>0</v>
      </c>
      <c r="N63" s="69"/>
      <c r="O63" s="70"/>
      <c r="P63" s="68" t="e">
        <f t="shared" si="28"/>
        <v>#DIV/0!</v>
      </c>
      <c r="Q63" s="35" t="e">
        <f t="shared" si="29"/>
        <v>#DIV/0!</v>
      </c>
      <c r="R63" s="35" t="e">
        <f t="shared" si="30"/>
        <v>#DIV/0!</v>
      </c>
      <c r="T63" s="35" t="e">
        <f t="shared" si="31"/>
        <v>#DIV/0!</v>
      </c>
    </row>
    <row r="64" spans="1:20" ht="12.75">
      <c r="A64">
        <v>200906</v>
      </c>
      <c r="B64" s="14"/>
      <c r="C64" s="13">
        <f>ROUND(B64*'electricity per guestroom'!$E$20,0)</f>
        <v>0</v>
      </c>
      <c r="D64" s="14"/>
      <c r="E64" s="13">
        <f>ROUND(D64*'electricity per conference room'!$B$12,0)</f>
        <v>0</v>
      </c>
      <c r="F64" s="69"/>
      <c r="G64" s="70"/>
      <c r="H64" s="68" t="e">
        <f t="shared" si="25"/>
        <v>#DIV/0!</v>
      </c>
      <c r="I64" s="35" t="e">
        <f t="shared" si="26"/>
        <v>#DIV/0!</v>
      </c>
      <c r="J64" s="35" t="e">
        <f t="shared" si="27"/>
        <v>#DIV/0!</v>
      </c>
      <c r="L64" s="14"/>
      <c r="M64" s="13">
        <f>ROUND(L64*'water per guest'!$F$15,0)</f>
        <v>0</v>
      </c>
      <c r="N64" s="69"/>
      <c r="O64" s="70"/>
      <c r="P64" s="68" t="e">
        <f t="shared" si="28"/>
        <v>#DIV/0!</v>
      </c>
      <c r="Q64" s="35" t="e">
        <f t="shared" si="29"/>
        <v>#DIV/0!</v>
      </c>
      <c r="R64" s="35" t="e">
        <f t="shared" si="30"/>
        <v>#DIV/0!</v>
      </c>
      <c r="T64" s="35" t="e">
        <f t="shared" si="31"/>
        <v>#DIV/0!</v>
      </c>
    </row>
    <row r="65" spans="1:20" ht="12.75">
      <c r="A65">
        <v>200907</v>
      </c>
      <c r="B65" s="14"/>
      <c r="C65" s="13">
        <f>ROUND(B65*'electricity per guestroom'!$E$20,0)</f>
        <v>0</v>
      </c>
      <c r="D65" s="14"/>
      <c r="E65" s="13">
        <f>ROUND(D65*'electricity per conference room'!$B$12,0)</f>
        <v>0</v>
      </c>
      <c r="F65" s="69"/>
      <c r="G65" s="70"/>
      <c r="H65" s="68" t="e">
        <f t="shared" si="25"/>
        <v>#DIV/0!</v>
      </c>
      <c r="I65" s="35" t="e">
        <f t="shared" si="26"/>
        <v>#DIV/0!</v>
      </c>
      <c r="J65" s="35" t="e">
        <f t="shared" si="27"/>
        <v>#DIV/0!</v>
      </c>
      <c r="L65" s="14"/>
      <c r="M65" s="13">
        <f>ROUND(L65*'water per guest'!$F$15,0)</f>
        <v>0</v>
      </c>
      <c r="N65" s="69"/>
      <c r="O65" s="70"/>
      <c r="P65" s="68" t="e">
        <f t="shared" si="28"/>
        <v>#DIV/0!</v>
      </c>
      <c r="Q65" s="35" t="e">
        <f t="shared" si="29"/>
        <v>#DIV/0!</v>
      </c>
      <c r="R65" s="35" t="e">
        <f t="shared" si="30"/>
        <v>#DIV/0!</v>
      </c>
      <c r="T65" s="35" t="e">
        <f t="shared" si="31"/>
        <v>#DIV/0!</v>
      </c>
    </row>
    <row r="66" spans="1:20" ht="12.75">
      <c r="A66">
        <v>200908</v>
      </c>
      <c r="B66" s="14"/>
      <c r="C66" s="13">
        <f>ROUND(B66*'electricity per guestroom'!$E$20,0)</f>
        <v>0</v>
      </c>
      <c r="D66" s="14"/>
      <c r="E66" s="13">
        <f>ROUND(D66*'electricity per conference room'!$B$12,0)</f>
        <v>0</v>
      </c>
      <c r="F66" s="69"/>
      <c r="G66" s="70"/>
      <c r="H66" s="68" t="e">
        <f t="shared" si="25"/>
        <v>#DIV/0!</v>
      </c>
      <c r="I66" s="35" t="e">
        <f t="shared" si="26"/>
        <v>#DIV/0!</v>
      </c>
      <c r="J66" s="35" t="e">
        <f t="shared" si="27"/>
        <v>#DIV/0!</v>
      </c>
      <c r="L66" s="14"/>
      <c r="M66" s="13">
        <f>ROUND(L66*'water per guest'!$F$15,0)</f>
        <v>0</v>
      </c>
      <c r="N66" s="69"/>
      <c r="O66" s="70"/>
      <c r="P66" s="68" t="e">
        <f t="shared" si="28"/>
        <v>#DIV/0!</v>
      </c>
      <c r="Q66" s="35" t="e">
        <f t="shared" si="29"/>
        <v>#DIV/0!</v>
      </c>
      <c r="R66" s="35" t="e">
        <f t="shared" si="30"/>
        <v>#DIV/0!</v>
      </c>
      <c r="T66" s="35" t="e">
        <f t="shared" si="31"/>
        <v>#DIV/0!</v>
      </c>
    </row>
    <row r="67" spans="1:20" ht="12.75">
      <c r="A67">
        <v>200909</v>
      </c>
      <c r="B67" s="14"/>
      <c r="C67" s="13">
        <f>ROUND(B67*'electricity per guestroom'!$E$20,0)</f>
        <v>0</v>
      </c>
      <c r="D67" s="14"/>
      <c r="E67" s="13">
        <f>ROUND(D67*'electricity per conference room'!$B$12,0)</f>
        <v>0</v>
      </c>
      <c r="F67" s="69"/>
      <c r="G67" s="70"/>
      <c r="H67" s="68" t="e">
        <f t="shared" si="25"/>
        <v>#DIV/0!</v>
      </c>
      <c r="I67" s="35" t="e">
        <f t="shared" si="26"/>
        <v>#DIV/0!</v>
      </c>
      <c r="J67" s="35" t="e">
        <f t="shared" si="27"/>
        <v>#DIV/0!</v>
      </c>
      <c r="L67" s="14"/>
      <c r="M67" s="13">
        <f>ROUND(L67*'water per guest'!$F$15,0)</f>
        <v>0</v>
      </c>
      <c r="N67" s="69"/>
      <c r="O67" s="70"/>
      <c r="P67" s="68" t="e">
        <f t="shared" si="28"/>
        <v>#DIV/0!</v>
      </c>
      <c r="Q67" s="35" t="e">
        <f t="shared" si="29"/>
        <v>#DIV/0!</v>
      </c>
      <c r="R67" s="35" t="e">
        <f t="shared" si="30"/>
        <v>#DIV/0!</v>
      </c>
      <c r="T67" s="35" t="e">
        <f t="shared" si="31"/>
        <v>#DIV/0!</v>
      </c>
    </row>
    <row r="68" spans="1:20" ht="12.75">
      <c r="A68">
        <v>200910</v>
      </c>
      <c r="B68" s="14"/>
      <c r="C68" s="13">
        <f>ROUND(B68*'electricity per guestroom'!$E$20,0)</f>
        <v>0</v>
      </c>
      <c r="D68" s="14"/>
      <c r="E68" s="13">
        <f>ROUND(D68*'electricity per conference room'!$B$12,0)</f>
        <v>0</v>
      </c>
      <c r="F68" s="69"/>
      <c r="G68" s="70"/>
      <c r="H68" s="68" t="e">
        <f t="shared" si="25"/>
        <v>#DIV/0!</v>
      </c>
      <c r="I68" s="35" t="e">
        <f t="shared" si="26"/>
        <v>#DIV/0!</v>
      </c>
      <c r="J68" s="35" t="e">
        <f t="shared" si="27"/>
        <v>#DIV/0!</v>
      </c>
      <c r="L68" s="14"/>
      <c r="M68" s="13">
        <f>ROUND(L68*'water per guest'!$F$15,0)</f>
        <v>0</v>
      </c>
      <c r="N68" s="69"/>
      <c r="O68" s="70"/>
      <c r="P68" s="68" t="e">
        <f t="shared" si="28"/>
        <v>#DIV/0!</v>
      </c>
      <c r="Q68" s="35" t="e">
        <f t="shared" si="29"/>
        <v>#DIV/0!</v>
      </c>
      <c r="R68" s="35" t="e">
        <f t="shared" si="30"/>
        <v>#DIV/0!</v>
      </c>
      <c r="T68" s="35" t="e">
        <f t="shared" si="31"/>
        <v>#DIV/0!</v>
      </c>
    </row>
    <row r="69" spans="1:20" ht="12.75">
      <c r="A69">
        <v>200911</v>
      </c>
      <c r="B69" s="14"/>
      <c r="C69" s="13">
        <f>ROUND(B69*'electricity per guestroom'!$E$20,0)</f>
        <v>0</v>
      </c>
      <c r="D69" s="14"/>
      <c r="E69" s="13">
        <f>ROUND(D69*'electricity per conference room'!$B$12,0)</f>
        <v>0</v>
      </c>
      <c r="F69" s="69"/>
      <c r="G69" s="70"/>
      <c r="H69" s="68" t="e">
        <f t="shared" si="25"/>
        <v>#DIV/0!</v>
      </c>
      <c r="I69" s="35" t="e">
        <f t="shared" si="26"/>
        <v>#DIV/0!</v>
      </c>
      <c r="J69" s="35" t="e">
        <f t="shared" si="27"/>
        <v>#DIV/0!</v>
      </c>
      <c r="L69" s="14"/>
      <c r="M69" s="13">
        <f>ROUND(L69*'water per guest'!$F$15,0)</f>
        <v>0</v>
      </c>
      <c r="N69" s="69"/>
      <c r="O69" s="70"/>
      <c r="P69" s="68" t="e">
        <f t="shared" si="28"/>
        <v>#DIV/0!</v>
      </c>
      <c r="Q69" s="35" t="e">
        <f t="shared" si="29"/>
        <v>#DIV/0!</v>
      </c>
      <c r="R69" s="35" t="e">
        <f t="shared" si="30"/>
        <v>#DIV/0!</v>
      </c>
      <c r="T69" s="35" t="e">
        <f t="shared" si="31"/>
        <v>#DIV/0!</v>
      </c>
    </row>
    <row r="70" spans="1:20" ht="12.75">
      <c r="A70">
        <v>200912</v>
      </c>
      <c r="B70" s="14"/>
      <c r="C70" s="13">
        <f>ROUND(B70*'electricity per guestroom'!$E$20,0)</f>
        <v>0</v>
      </c>
      <c r="D70" s="14"/>
      <c r="E70" s="13">
        <f>ROUND(D70*'electricity per conference room'!$B$12,0)</f>
        <v>0</v>
      </c>
      <c r="F70" s="69"/>
      <c r="G70" s="70"/>
      <c r="H70" s="68" t="e">
        <f t="shared" si="25"/>
        <v>#DIV/0!</v>
      </c>
      <c r="I70" s="35" t="e">
        <f t="shared" si="26"/>
        <v>#DIV/0!</v>
      </c>
      <c r="J70" s="35" t="e">
        <f t="shared" si="27"/>
        <v>#DIV/0!</v>
      </c>
      <c r="L70" s="14"/>
      <c r="M70" s="13">
        <f>ROUND(L70*'water per guest'!$F$15,0)</f>
        <v>0</v>
      </c>
      <c r="N70" s="69"/>
      <c r="O70" s="70"/>
      <c r="P70" s="68" t="e">
        <f t="shared" si="28"/>
        <v>#DIV/0!</v>
      </c>
      <c r="Q70" s="35" t="e">
        <f t="shared" si="29"/>
        <v>#DIV/0!</v>
      </c>
      <c r="R70" s="35" t="e">
        <f t="shared" si="30"/>
        <v>#DIV/0!</v>
      </c>
      <c r="T70" s="35" t="e">
        <f t="shared" si="31"/>
        <v>#DIV/0!</v>
      </c>
    </row>
    <row r="71" spans="1:20" ht="12.75">
      <c r="A71" t="s">
        <v>35</v>
      </c>
      <c r="B71" s="15">
        <f aca="true" t="shared" si="32" ref="B71:G71">SUM(B59:B70)</f>
        <v>0</v>
      </c>
      <c r="C71" s="15">
        <f t="shared" si="32"/>
        <v>0</v>
      </c>
      <c r="D71" s="15">
        <f t="shared" si="32"/>
        <v>0</v>
      </c>
      <c r="E71" s="15">
        <f t="shared" si="32"/>
        <v>0</v>
      </c>
      <c r="F71" s="15">
        <f t="shared" si="32"/>
        <v>0</v>
      </c>
      <c r="G71" s="67">
        <f t="shared" si="32"/>
        <v>0</v>
      </c>
      <c r="I71" s="67" t="e">
        <f>SUM(I59:I70)</f>
        <v>#DIV/0!</v>
      </c>
      <c r="J71" s="67" t="e">
        <f>SUM(J59:J70)</f>
        <v>#DIV/0!</v>
      </c>
      <c r="L71" s="15">
        <f>SUM(L59:L70)</f>
        <v>0</v>
      </c>
      <c r="M71" s="15">
        <f>SUM(M59:M70)</f>
        <v>0</v>
      </c>
      <c r="N71" s="15">
        <f>SUM(N59:N70)</f>
        <v>0</v>
      </c>
      <c r="O71" s="67">
        <f>SUM(O59:O70)</f>
        <v>0</v>
      </c>
      <c r="Q71" s="67" t="e">
        <f>SUM(Q59:Q70)</f>
        <v>#DIV/0!</v>
      </c>
      <c r="R71" s="67" t="e">
        <f>SUM(R59:R70)</f>
        <v>#DIV/0!</v>
      </c>
      <c r="T71" s="67" t="e">
        <f>SUM(T59:T70)</f>
        <v>#DIV/0!</v>
      </c>
    </row>
    <row r="72" ht="12.75">
      <c r="D72"/>
    </row>
    <row r="73" spans="1:20" ht="12.75">
      <c r="A73">
        <v>201001</v>
      </c>
      <c r="B73" s="14"/>
      <c r="C73" s="13">
        <f>ROUND(B73*'electricity per guestroom'!$E$20,0)</f>
        <v>0</v>
      </c>
      <c r="D73" s="14"/>
      <c r="E73" s="13">
        <f>ROUND(D73*'electricity per conference room'!$B$12,0)</f>
        <v>0</v>
      </c>
      <c r="F73" s="69"/>
      <c r="G73" s="70"/>
      <c r="H73" s="68" t="e">
        <f aca="true" t="shared" si="33" ref="H73:H84">ROUND(G73/F73,3)</f>
        <v>#DIV/0!</v>
      </c>
      <c r="I73" s="35" t="e">
        <f aca="true" t="shared" si="34" ref="I73:I84">ROUND((C73+E73)*H73,2)</f>
        <v>#DIV/0!</v>
      </c>
      <c r="J73" s="35" t="e">
        <f aca="true" t="shared" si="35" ref="J73:J84">+G73-I73</f>
        <v>#DIV/0!</v>
      </c>
      <c r="L73" s="14"/>
      <c r="M73" s="13">
        <f>ROUND(L73*'water per guest'!$F$15,0)</f>
        <v>0</v>
      </c>
      <c r="N73" s="69"/>
      <c r="O73" s="70"/>
      <c r="P73" s="68" t="e">
        <f aca="true" t="shared" si="36" ref="P73:P84">ROUND(O73/N73,3)</f>
        <v>#DIV/0!</v>
      </c>
      <c r="Q73" s="35" t="e">
        <f aca="true" t="shared" si="37" ref="Q73:Q84">ROUND(M73*P73,2)</f>
        <v>#DIV/0!</v>
      </c>
      <c r="R73" s="35" t="e">
        <f aca="true" t="shared" si="38" ref="R73:R84">+O73-Q73</f>
        <v>#DIV/0!</v>
      </c>
      <c r="T73" s="35" t="e">
        <f aca="true" t="shared" si="39" ref="T73:T84">+J73+R73</f>
        <v>#DIV/0!</v>
      </c>
    </row>
    <row r="74" spans="1:20" ht="12.75">
      <c r="A74">
        <v>201002</v>
      </c>
      <c r="B74" s="14"/>
      <c r="C74" s="13">
        <f>ROUND(B74*'electricity per guestroom'!$E$20,0)</f>
        <v>0</v>
      </c>
      <c r="D74" s="14"/>
      <c r="E74" s="13">
        <f>ROUND(D74*'electricity per conference room'!$B$12,0)</f>
        <v>0</v>
      </c>
      <c r="F74" s="69"/>
      <c r="G74" s="70"/>
      <c r="H74" s="68" t="e">
        <f t="shared" si="33"/>
        <v>#DIV/0!</v>
      </c>
      <c r="I74" s="35" t="e">
        <f t="shared" si="34"/>
        <v>#DIV/0!</v>
      </c>
      <c r="J74" s="35" t="e">
        <f t="shared" si="35"/>
        <v>#DIV/0!</v>
      </c>
      <c r="L74" s="14"/>
      <c r="M74" s="13">
        <f>ROUND(L74*'water per guest'!$F$15,0)</f>
        <v>0</v>
      </c>
      <c r="N74" s="69"/>
      <c r="O74" s="70"/>
      <c r="P74" s="68" t="e">
        <f t="shared" si="36"/>
        <v>#DIV/0!</v>
      </c>
      <c r="Q74" s="35" t="e">
        <f t="shared" si="37"/>
        <v>#DIV/0!</v>
      </c>
      <c r="R74" s="35" t="e">
        <f t="shared" si="38"/>
        <v>#DIV/0!</v>
      </c>
      <c r="T74" s="35" t="e">
        <f t="shared" si="39"/>
        <v>#DIV/0!</v>
      </c>
    </row>
    <row r="75" spans="1:20" ht="12.75">
      <c r="A75">
        <v>201003</v>
      </c>
      <c r="B75" s="14"/>
      <c r="C75" s="13">
        <f>ROUND(B75*'electricity per guestroom'!$E$20,0)</f>
        <v>0</v>
      </c>
      <c r="D75" s="14"/>
      <c r="E75" s="13">
        <f>ROUND(D75*'electricity per conference room'!$B$12,0)</f>
        <v>0</v>
      </c>
      <c r="F75" s="69"/>
      <c r="G75" s="70"/>
      <c r="H75" s="68" t="e">
        <f t="shared" si="33"/>
        <v>#DIV/0!</v>
      </c>
      <c r="I75" s="35" t="e">
        <f t="shared" si="34"/>
        <v>#DIV/0!</v>
      </c>
      <c r="J75" s="35" t="e">
        <f t="shared" si="35"/>
        <v>#DIV/0!</v>
      </c>
      <c r="L75" s="14"/>
      <c r="M75" s="13">
        <f>ROUND(L75*'water per guest'!$F$15,0)</f>
        <v>0</v>
      </c>
      <c r="N75" s="69"/>
      <c r="O75" s="70"/>
      <c r="P75" s="68" t="e">
        <f t="shared" si="36"/>
        <v>#DIV/0!</v>
      </c>
      <c r="Q75" s="35" t="e">
        <f t="shared" si="37"/>
        <v>#DIV/0!</v>
      </c>
      <c r="R75" s="35" t="e">
        <f t="shared" si="38"/>
        <v>#DIV/0!</v>
      </c>
      <c r="T75" s="35" t="e">
        <f t="shared" si="39"/>
        <v>#DIV/0!</v>
      </c>
    </row>
    <row r="76" spans="1:20" ht="12.75">
      <c r="A76">
        <v>201004</v>
      </c>
      <c r="B76" s="14"/>
      <c r="C76" s="13">
        <f>ROUND(B76*'electricity per guestroom'!$E$20,0)</f>
        <v>0</v>
      </c>
      <c r="D76" s="14"/>
      <c r="E76" s="13">
        <f>ROUND(D76*'electricity per conference room'!$B$12,0)</f>
        <v>0</v>
      </c>
      <c r="F76" s="69"/>
      <c r="G76" s="70"/>
      <c r="H76" s="68" t="e">
        <f t="shared" si="33"/>
        <v>#DIV/0!</v>
      </c>
      <c r="I76" s="35" t="e">
        <f t="shared" si="34"/>
        <v>#DIV/0!</v>
      </c>
      <c r="J76" s="35" t="e">
        <f t="shared" si="35"/>
        <v>#DIV/0!</v>
      </c>
      <c r="L76" s="14"/>
      <c r="M76" s="13">
        <f>ROUND(L76*'water per guest'!$F$15,0)</f>
        <v>0</v>
      </c>
      <c r="N76" s="69"/>
      <c r="O76" s="70"/>
      <c r="P76" s="68" t="e">
        <f t="shared" si="36"/>
        <v>#DIV/0!</v>
      </c>
      <c r="Q76" s="35" t="e">
        <f t="shared" si="37"/>
        <v>#DIV/0!</v>
      </c>
      <c r="R76" s="35" t="e">
        <f t="shared" si="38"/>
        <v>#DIV/0!</v>
      </c>
      <c r="T76" s="35" t="e">
        <f t="shared" si="39"/>
        <v>#DIV/0!</v>
      </c>
    </row>
    <row r="77" spans="1:20" ht="12.75">
      <c r="A77">
        <v>201005</v>
      </c>
      <c r="B77" s="14"/>
      <c r="C77" s="13">
        <f>ROUND(B77*'electricity per guestroom'!$E$20,0)</f>
        <v>0</v>
      </c>
      <c r="D77" s="14"/>
      <c r="E77" s="13">
        <f>ROUND(D77*'electricity per conference room'!$B$12,0)</f>
        <v>0</v>
      </c>
      <c r="F77" s="69"/>
      <c r="G77" s="70"/>
      <c r="H77" s="68" t="e">
        <f t="shared" si="33"/>
        <v>#DIV/0!</v>
      </c>
      <c r="I77" s="35" t="e">
        <f t="shared" si="34"/>
        <v>#DIV/0!</v>
      </c>
      <c r="J77" s="35" t="e">
        <f t="shared" si="35"/>
        <v>#DIV/0!</v>
      </c>
      <c r="L77" s="14"/>
      <c r="M77" s="13">
        <f>ROUND(L77*'water per guest'!$F$15,0)</f>
        <v>0</v>
      </c>
      <c r="N77" s="69"/>
      <c r="O77" s="70"/>
      <c r="P77" s="68" t="e">
        <f t="shared" si="36"/>
        <v>#DIV/0!</v>
      </c>
      <c r="Q77" s="35" t="e">
        <f t="shared" si="37"/>
        <v>#DIV/0!</v>
      </c>
      <c r="R77" s="35" t="e">
        <f t="shared" si="38"/>
        <v>#DIV/0!</v>
      </c>
      <c r="T77" s="35" t="e">
        <f t="shared" si="39"/>
        <v>#DIV/0!</v>
      </c>
    </row>
    <row r="78" spans="1:20" ht="12.75">
      <c r="A78">
        <v>201006</v>
      </c>
      <c r="B78" s="14"/>
      <c r="C78" s="13">
        <f>ROUND(B78*'electricity per guestroom'!$E$20,0)</f>
        <v>0</v>
      </c>
      <c r="D78" s="14"/>
      <c r="E78" s="13">
        <f>ROUND(D78*'electricity per conference room'!$B$12,0)</f>
        <v>0</v>
      </c>
      <c r="F78" s="69"/>
      <c r="G78" s="70"/>
      <c r="H78" s="68" t="e">
        <f t="shared" si="33"/>
        <v>#DIV/0!</v>
      </c>
      <c r="I78" s="35" t="e">
        <f t="shared" si="34"/>
        <v>#DIV/0!</v>
      </c>
      <c r="J78" s="35" t="e">
        <f t="shared" si="35"/>
        <v>#DIV/0!</v>
      </c>
      <c r="L78" s="14"/>
      <c r="M78" s="13">
        <f>ROUND(L78*'water per guest'!$F$15,0)</f>
        <v>0</v>
      </c>
      <c r="N78" s="69"/>
      <c r="O78" s="70"/>
      <c r="P78" s="68" t="e">
        <f t="shared" si="36"/>
        <v>#DIV/0!</v>
      </c>
      <c r="Q78" s="35" t="e">
        <f t="shared" si="37"/>
        <v>#DIV/0!</v>
      </c>
      <c r="R78" s="35" t="e">
        <f t="shared" si="38"/>
        <v>#DIV/0!</v>
      </c>
      <c r="T78" s="35" t="e">
        <f t="shared" si="39"/>
        <v>#DIV/0!</v>
      </c>
    </row>
    <row r="79" spans="1:20" ht="12.75">
      <c r="A79">
        <v>201007</v>
      </c>
      <c r="B79" s="14"/>
      <c r="C79" s="13">
        <f>ROUND(B79*'electricity per guestroom'!$E$20,0)</f>
        <v>0</v>
      </c>
      <c r="D79" s="14"/>
      <c r="E79" s="13">
        <f>ROUND(D79*'electricity per conference room'!$B$12,0)</f>
        <v>0</v>
      </c>
      <c r="F79" s="69"/>
      <c r="G79" s="70"/>
      <c r="H79" s="68" t="e">
        <f t="shared" si="33"/>
        <v>#DIV/0!</v>
      </c>
      <c r="I79" s="35" t="e">
        <f t="shared" si="34"/>
        <v>#DIV/0!</v>
      </c>
      <c r="J79" s="35" t="e">
        <f t="shared" si="35"/>
        <v>#DIV/0!</v>
      </c>
      <c r="L79" s="14"/>
      <c r="M79" s="13">
        <f>ROUND(L79*'water per guest'!$F$15,0)</f>
        <v>0</v>
      </c>
      <c r="N79" s="69"/>
      <c r="O79" s="70"/>
      <c r="P79" s="68" t="e">
        <f t="shared" si="36"/>
        <v>#DIV/0!</v>
      </c>
      <c r="Q79" s="35" t="e">
        <f t="shared" si="37"/>
        <v>#DIV/0!</v>
      </c>
      <c r="R79" s="35" t="e">
        <f t="shared" si="38"/>
        <v>#DIV/0!</v>
      </c>
      <c r="T79" s="35" t="e">
        <f t="shared" si="39"/>
        <v>#DIV/0!</v>
      </c>
    </row>
    <row r="80" spans="1:20" ht="12.75">
      <c r="A80">
        <v>201008</v>
      </c>
      <c r="B80" s="14"/>
      <c r="C80" s="13">
        <f>ROUND(B80*'electricity per guestroom'!$E$20,0)</f>
        <v>0</v>
      </c>
      <c r="D80" s="14"/>
      <c r="E80" s="13">
        <f>ROUND(D80*'electricity per conference room'!$B$12,0)</f>
        <v>0</v>
      </c>
      <c r="F80" s="69"/>
      <c r="G80" s="70"/>
      <c r="H80" s="68" t="e">
        <f t="shared" si="33"/>
        <v>#DIV/0!</v>
      </c>
      <c r="I80" s="35" t="e">
        <f t="shared" si="34"/>
        <v>#DIV/0!</v>
      </c>
      <c r="J80" s="35" t="e">
        <f t="shared" si="35"/>
        <v>#DIV/0!</v>
      </c>
      <c r="L80" s="14"/>
      <c r="M80" s="13">
        <f>ROUND(L80*'water per guest'!$F$15,0)</f>
        <v>0</v>
      </c>
      <c r="N80" s="69"/>
      <c r="O80" s="70"/>
      <c r="P80" s="68" t="e">
        <f t="shared" si="36"/>
        <v>#DIV/0!</v>
      </c>
      <c r="Q80" s="35" t="e">
        <f t="shared" si="37"/>
        <v>#DIV/0!</v>
      </c>
      <c r="R80" s="35" t="e">
        <f t="shared" si="38"/>
        <v>#DIV/0!</v>
      </c>
      <c r="T80" s="35" t="e">
        <f t="shared" si="39"/>
        <v>#DIV/0!</v>
      </c>
    </row>
    <row r="81" spans="1:20" ht="12.75">
      <c r="A81">
        <v>201009</v>
      </c>
      <c r="B81" s="14"/>
      <c r="C81" s="13">
        <f>ROUND(B81*'electricity per guestroom'!$E$20,0)</f>
        <v>0</v>
      </c>
      <c r="D81" s="14"/>
      <c r="E81" s="13">
        <f>ROUND(D81*'electricity per conference room'!$B$12,0)</f>
        <v>0</v>
      </c>
      <c r="F81" s="69"/>
      <c r="G81" s="70"/>
      <c r="H81" s="68" t="e">
        <f t="shared" si="33"/>
        <v>#DIV/0!</v>
      </c>
      <c r="I81" s="35" t="e">
        <f t="shared" si="34"/>
        <v>#DIV/0!</v>
      </c>
      <c r="J81" s="35" t="e">
        <f t="shared" si="35"/>
        <v>#DIV/0!</v>
      </c>
      <c r="L81" s="14"/>
      <c r="M81" s="13">
        <f>ROUND(L81*'water per guest'!$F$15,0)</f>
        <v>0</v>
      </c>
      <c r="N81" s="69"/>
      <c r="O81" s="70"/>
      <c r="P81" s="68" t="e">
        <f t="shared" si="36"/>
        <v>#DIV/0!</v>
      </c>
      <c r="Q81" s="35" t="e">
        <f t="shared" si="37"/>
        <v>#DIV/0!</v>
      </c>
      <c r="R81" s="35" t="e">
        <f t="shared" si="38"/>
        <v>#DIV/0!</v>
      </c>
      <c r="T81" s="35" t="e">
        <f t="shared" si="39"/>
        <v>#DIV/0!</v>
      </c>
    </row>
    <row r="82" spans="1:20" ht="12.75">
      <c r="A82">
        <v>201010</v>
      </c>
      <c r="B82" s="14"/>
      <c r="C82" s="13">
        <f>ROUND(B82*'electricity per guestroom'!$E$20,0)</f>
        <v>0</v>
      </c>
      <c r="D82" s="14"/>
      <c r="E82" s="13">
        <f>ROUND(D82*'electricity per conference room'!$B$12,0)</f>
        <v>0</v>
      </c>
      <c r="F82" s="69"/>
      <c r="G82" s="70"/>
      <c r="H82" s="68" t="e">
        <f t="shared" si="33"/>
        <v>#DIV/0!</v>
      </c>
      <c r="I82" s="35" t="e">
        <f t="shared" si="34"/>
        <v>#DIV/0!</v>
      </c>
      <c r="J82" s="35" t="e">
        <f t="shared" si="35"/>
        <v>#DIV/0!</v>
      </c>
      <c r="L82" s="14"/>
      <c r="M82" s="13">
        <f>ROUND(L82*'water per guest'!$F$15,0)</f>
        <v>0</v>
      </c>
      <c r="N82" s="69"/>
      <c r="O82" s="70"/>
      <c r="P82" s="68" t="e">
        <f t="shared" si="36"/>
        <v>#DIV/0!</v>
      </c>
      <c r="Q82" s="35" t="e">
        <f t="shared" si="37"/>
        <v>#DIV/0!</v>
      </c>
      <c r="R82" s="35" t="e">
        <f t="shared" si="38"/>
        <v>#DIV/0!</v>
      </c>
      <c r="T82" s="35" t="e">
        <f t="shared" si="39"/>
        <v>#DIV/0!</v>
      </c>
    </row>
    <row r="83" spans="1:20" ht="12.75">
      <c r="A83">
        <v>201011</v>
      </c>
      <c r="B83" s="14"/>
      <c r="C83" s="13">
        <f>ROUND(B83*'electricity per guestroom'!$E$20,0)</f>
        <v>0</v>
      </c>
      <c r="D83" s="14"/>
      <c r="E83" s="13">
        <f>ROUND(D83*'electricity per conference room'!$B$12,0)</f>
        <v>0</v>
      </c>
      <c r="F83" s="69"/>
      <c r="G83" s="70"/>
      <c r="H83" s="68" t="e">
        <f t="shared" si="33"/>
        <v>#DIV/0!</v>
      </c>
      <c r="I83" s="35" t="e">
        <f t="shared" si="34"/>
        <v>#DIV/0!</v>
      </c>
      <c r="J83" s="35" t="e">
        <f t="shared" si="35"/>
        <v>#DIV/0!</v>
      </c>
      <c r="L83" s="14"/>
      <c r="M83" s="13">
        <f>ROUND(L83*'water per guest'!$F$15,0)</f>
        <v>0</v>
      </c>
      <c r="N83" s="69"/>
      <c r="O83" s="70"/>
      <c r="P83" s="68" t="e">
        <f t="shared" si="36"/>
        <v>#DIV/0!</v>
      </c>
      <c r="Q83" s="35" t="e">
        <f t="shared" si="37"/>
        <v>#DIV/0!</v>
      </c>
      <c r="R83" s="35" t="e">
        <f t="shared" si="38"/>
        <v>#DIV/0!</v>
      </c>
      <c r="T83" s="35" t="e">
        <f t="shared" si="39"/>
        <v>#DIV/0!</v>
      </c>
    </row>
    <row r="84" spans="1:20" ht="12.75">
      <c r="A84">
        <v>201012</v>
      </c>
      <c r="B84" s="14"/>
      <c r="C84" s="13">
        <f>ROUND(B84*'electricity per guestroom'!$E$20,0)</f>
        <v>0</v>
      </c>
      <c r="D84" s="14"/>
      <c r="E84" s="13">
        <f>ROUND(D84*'electricity per conference room'!$B$12,0)</f>
        <v>0</v>
      </c>
      <c r="F84" s="69"/>
      <c r="G84" s="70"/>
      <c r="H84" s="68" t="e">
        <f t="shared" si="33"/>
        <v>#DIV/0!</v>
      </c>
      <c r="I84" s="35" t="e">
        <f t="shared" si="34"/>
        <v>#DIV/0!</v>
      </c>
      <c r="J84" s="35" t="e">
        <f t="shared" si="35"/>
        <v>#DIV/0!</v>
      </c>
      <c r="L84" s="14"/>
      <c r="M84" s="13">
        <f>ROUND(L84*'water per guest'!$F$15,0)</f>
        <v>0</v>
      </c>
      <c r="N84" s="69"/>
      <c r="O84" s="70"/>
      <c r="P84" s="68" t="e">
        <f t="shared" si="36"/>
        <v>#DIV/0!</v>
      </c>
      <c r="Q84" s="35" t="e">
        <f t="shared" si="37"/>
        <v>#DIV/0!</v>
      </c>
      <c r="R84" s="35" t="e">
        <f t="shared" si="38"/>
        <v>#DIV/0!</v>
      </c>
      <c r="T84" s="35" t="e">
        <f t="shared" si="39"/>
        <v>#DIV/0!</v>
      </c>
    </row>
    <row r="85" spans="1:20" ht="12.75">
      <c r="A85" t="s">
        <v>35</v>
      </c>
      <c r="B85" s="15">
        <f aca="true" t="shared" si="40" ref="B85:G85">SUM(B73:B84)</f>
        <v>0</v>
      </c>
      <c r="C85" s="15">
        <f t="shared" si="40"/>
        <v>0</v>
      </c>
      <c r="D85" s="15">
        <f t="shared" si="40"/>
        <v>0</v>
      </c>
      <c r="E85" s="15">
        <f t="shared" si="40"/>
        <v>0</v>
      </c>
      <c r="F85" s="15">
        <f t="shared" si="40"/>
        <v>0</v>
      </c>
      <c r="G85" s="67">
        <f t="shared" si="40"/>
        <v>0</v>
      </c>
      <c r="I85" s="67" t="e">
        <f>SUM(I73:I84)</f>
        <v>#DIV/0!</v>
      </c>
      <c r="J85" s="67" t="e">
        <f>SUM(J73:J84)</f>
        <v>#DIV/0!</v>
      </c>
      <c r="L85" s="15">
        <f>SUM(L73:L84)</f>
        <v>0</v>
      </c>
      <c r="M85" s="15">
        <f>SUM(M73:M84)</f>
        <v>0</v>
      </c>
      <c r="N85" s="15">
        <f>SUM(N73:N84)</f>
        <v>0</v>
      </c>
      <c r="O85" s="67">
        <f>SUM(O73:O84)</f>
        <v>0</v>
      </c>
      <c r="Q85" s="67" t="e">
        <f>SUM(Q73:Q84)</f>
        <v>#DIV/0!</v>
      </c>
      <c r="R85" s="67" t="e">
        <f>SUM(R73:R84)</f>
        <v>#DIV/0!</v>
      </c>
      <c r="T85" s="67" t="e">
        <f>SUM(T73:T84)</f>
        <v>#DIV/0!</v>
      </c>
    </row>
    <row r="86" ht="12.75">
      <c r="D86"/>
    </row>
    <row r="87" spans="1:20" ht="12.75">
      <c r="A87">
        <v>201101</v>
      </c>
      <c r="B87" s="14"/>
      <c r="C87" s="13">
        <f>ROUND(B87*'electricity per guestroom'!$E$20,0)</f>
        <v>0</v>
      </c>
      <c r="D87" s="14"/>
      <c r="E87" s="13">
        <f>ROUND(D87*'electricity per conference room'!$B$12,0)</f>
        <v>0</v>
      </c>
      <c r="F87" s="69"/>
      <c r="G87" s="70"/>
      <c r="H87" s="68" t="e">
        <f aca="true" t="shared" si="41" ref="H87:H98">ROUND(G87/F87,3)</f>
        <v>#DIV/0!</v>
      </c>
      <c r="I87" s="35" t="e">
        <f aca="true" t="shared" si="42" ref="I87:I98">ROUND((C87+E87)*H87,2)</f>
        <v>#DIV/0!</v>
      </c>
      <c r="J87" s="35" t="e">
        <f aca="true" t="shared" si="43" ref="J87:J98">+G87-I87</f>
        <v>#DIV/0!</v>
      </c>
      <c r="L87" s="14"/>
      <c r="M87" s="13">
        <f>ROUND(L87*'water per guest'!$F$15,0)</f>
        <v>0</v>
      </c>
      <c r="N87" s="69"/>
      <c r="O87" s="70"/>
      <c r="P87" s="68" t="e">
        <f aca="true" t="shared" si="44" ref="P87:P98">ROUND(O87/N87,3)</f>
        <v>#DIV/0!</v>
      </c>
      <c r="Q87" s="35" t="e">
        <f aca="true" t="shared" si="45" ref="Q87:Q98">ROUND(M87*P87,2)</f>
        <v>#DIV/0!</v>
      </c>
      <c r="R87" s="35" t="e">
        <f aca="true" t="shared" si="46" ref="R87:R98">+O87-Q87</f>
        <v>#DIV/0!</v>
      </c>
      <c r="T87" s="35" t="e">
        <f aca="true" t="shared" si="47" ref="T87:T98">+J87+R87</f>
        <v>#DIV/0!</v>
      </c>
    </row>
    <row r="88" spans="1:20" ht="12.75">
      <c r="A88">
        <v>201102</v>
      </c>
      <c r="B88" s="14"/>
      <c r="C88" s="13">
        <f>ROUND(B88*'electricity per guestroom'!$E$20,0)</f>
        <v>0</v>
      </c>
      <c r="D88" s="14"/>
      <c r="E88" s="13">
        <f>ROUND(D88*'electricity per conference room'!$B$12,0)</f>
        <v>0</v>
      </c>
      <c r="F88" s="69"/>
      <c r="G88" s="70"/>
      <c r="H88" s="68" t="e">
        <f t="shared" si="41"/>
        <v>#DIV/0!</v>
      </c>
      <c r="I88" s="35" t="e">
        <f t="shared" si="42"/>
        <v>#DIV/0!</v>
      </c>
      <c r="J88" s="35" t="e">
        <f t="shared" si="43"/>
        <v>#DIV/0!</v>
      </c>
      <c r="L88" s="14"/>
      <c r="M88" s="13">
        <f>ROUND(L88*'water per guest'!$F$15,0)</f>
        <v>0</v>
      </c>
      <c r="N88" s="69"/>
      <c r="O88" s="70"/>
      <c r="P88" s="68" t="e">
        <f t="shared" si="44"/>
        <v>#DIV/0!</v>
      </c>
      <c r="Q88" s="35" t="e">
        <f t="shared" si="45"/>
        <v>#DIV/0!</v>
      </c>
      <c r="R88" s="35" t="e">
        <f t="shared" si="46"/>
        <v>#DIV/0!</v>
      </c>
      <c r="T88" s="35" t="e">
        <f t="shared" si="47"/>
        <v>#DIV/0!</v>
      </c>
    </row>
    <row r="89" spans="1:20" ht="12.75">
      <c r="A89">
        <v>201103</v>
      </c>
      <c r="B89" s="14"/>
      <c r="C89" s="13">
        <f>ROUND(B89*'electricity per guestroom'!$E$20,0)</f>
        <v>0</v>
      </c>
      <c r="D89" s="14"/>
      <c r="E89" s="13">
        <f>ROUND(D89*'electricity per conference room'!$B$12,0)</f>
        <v>0</v>
      </c>
      <c r="F89" s="69"/>
      <c r="G89" s="70"/>
      <c r="H89" s="68" t="e">
        <f t="shared" si="41"/>
        <v>#DIV/0!</v>
      </c>
      <c r="I89" s="35" t="e">
        <f t="shared" si="42"/>
        <v>#DIV/0!</v>
      </c>
      <c r="J89" s="35" t="e">
        <f t="shared" si="43"/>
        <v>#DIV/0!</v>
      </c>
      <c r="L89" s="14"/>
      <c r="M89" s="13">
        <f>ROUND(L89*'water per guest'!$F$15,0)</f>
        <v>0</v>
      </c>
      <c r="N89" s="69"/>
      <c r="O89" s="70"/>
      <c r="P89" s="68" t="e">
        <f t="shared" si="44"/>
        <v>#DIV/0!</v>
      </c>
      <c r="Q89" s="35" t="e">
        <f t="shared" si="45"/>
        <v>#DIV/0!</v>
      </c>
      <c r="R89" s="35" t="e">
        <f t="shared" si="46"/>
        <v>#DIV/0!</v>
      </c>
      <c r="T89" s="35" t="e">
        <f t="shared" si="47"/>
        <v>#DIV/0!</v>
      </c>
    </row>
    <row r="90" spans="1:20" ht="12.75">
      <c r="A90">
        <v>201104</v>
      </c>
      <c r="B90" s="14"/>
      <c r="C90" s="13">
        <f>ROUND(B90*'electricity per guestroom'!$E$20,0)</f>
        <v>0</v>
      </c>
      <c r="D90" s="14"/>
      <c r="E90" s="13">
        <f>ROUND(D90*'electricity per conference room'!$B$12,0)</f>
        <v>0</v>
      </c>
      <c r="F90" s="69"/>
      <c r="G90" s="70"/>
      <c r="H90" s="68" t="e">
        <f t="shared" si="41"/>
        <v>#DIV/0!</v>
      </c>
      <c r="I90" s="35" t="e">
        <f t="shared" si="42"/>
        <v>#DIV/0!</v>
      </c>
      <c r="J90" s="35" t="e">
        <f t="shared" si="43"/>
        <v>#DIV/0!</v>
      </c>
      <c r="L90" s="14"/>
      <c r="M90" s="13">
        <f>ROUND(L90*'water per guest'!$F$15,0)</f>
        <v>0</v>
      </c>
      <c r="N90" s="69"/>
      <c r="O90" s="70"/>
      <c r="P90" s="68" t="e">
        <f t="shared" si="44"/>
        <v>#DIV/0!</v>
      </c>
      <c r="Q90" s="35" t="e">
        <f t="shared" si="45"/>
        <v>#DIV/0!</v>
      </c>
      <c r="R90" s="35" t="e">
        <f t="shared" si="46"/>
        <v>#DIV/0!</v>
      </c>
      <c r="T90" s="35" t="e">
        <f t="shared" si="47"/>
        <v>#DIV/0!</v>
      </c>
    </row>
    <row r="91" spans="1:20" ht="12.75">
      <c r="A91">
        <v>201105</v>
      </c>
      <c r="B91" s="14"/>
      <c r="C91" s="13">
        <f>ROUND(B91*'electricity per guestroom'!$E$20,0)</f>
        <v>0</v>
      </c>
      <c r="D91" s="14"/>
      <c r="E91" s="13">
        <f>ROUND(D91*'electricity per conference room'!$B$12,0)</f>
        <v>0</v>
      </c>
      <c r="F91" s="69"/>
      <c r="G91" s="70"/>
      <c r="H91" s="68" t="e">
        <f t="shared" si="41"/>
        <v>#DIV/0!</v>
      </c>
      <c r="I91" s="35" t="e">
        <f t="shared" si="42"/>
        <v>#DIV/0!</v>
      </c>
      <c r="J91" s="35" t="e">
        <f t="shared" si="43"/>
        <v>#DIV/0!</v>
      </c>
      <c r="L91" s="14"/>
      <c r="M91" s="13">
        <f>ROUND(L91*'water per guest'!$F$15,0)</f>
        <v>0</v>
      </c>
      <c r="N91" s="69"/>
      <c r="O91" s="70"/>
      <c r="P91" s="68" t="e">
        <f t="shared" si="44"/>
        <v>#DIV/0!</v>
      </c>
      <c r="Q91" s="35" t="e">
        <f t="shared" si="45"/>
        <v>#DIV/0!</v>
      </c>
      <c r="R91" s="35" t="e">
        <f t="shared" si="46"/>
        <v>#DIV/0!</v>
      </c>
      <c r="T91" s="35" t="e">
        <f t="shared" si="47"/>
        <v>#DIV/0!</v>
      </c>
    </row>
    <row r="92" spans="1:20" ht="12.75">
      <c r="A92">
        <v>201106</v>
      </c>
      <c r="B92" s="14"/>
      <c r="C92" s="13">
        <f>ROUND(B92*'electricity per guestroom'!$E$20,0)</f>
        <v>0</v>
      </c>
      <c r="D92" s="14"/>
      <c r="E92" s="13">
        <f>ROUND(D92*'electricity per conference room'!$B$12,0)</f>
        <v>0</v>
      </c>
      <c r="F92" s="69"/>
      <c r="G92" s="70"/>
      <c r="H92" s="68" t="e">
        <f t="shared" si="41"/>
        <v>#DIV/0!</v>
      </c>
      <c r="I92" s="35" t="e">
        <f t="shared" si="42"/>
        <v>#DIV/0!</v>
      </c>
      <c r="J92" s="35" t="e">
        <f t="shared" si="43"/>
        <v>#DIV/0!</v>
      </c>
      <c r="L92" s="14"/>
      <c r="M92" s="13">
        <f>ROUND(L92*'water per guest'!$F$15,0)</f>
        <v>0</v>
      </c>
      <c r="N92" s="69"/>
      <c r="O92" s="70"/>
      <c r="P92" s="68" t="e">
        <f t="shared" si="44"/>
        <v>#DIV/0!</v>
      </c>
      <c r="Q92" s="35" t="e">
        <f t="shared" si="45"/>
        <v>#DIV/0!</v>
      </c>
      <c r="R92" s="35" t="e">
        <f t="shared" si="46"/>
        <v>#DIV/0!</v>
      </c>
      <c r="T92" s="35" t="e">
        <f t="shared" si="47"/>
        <v>#DIV/0!</v>
      </c>
    </row>
    <row r="93" spans="1:20" ht="12.75">
      <c r="A93">
        <v>201107</v>
      </c>
      <c r="B93" s="14"/>
      <c r="C93" s="13">
        <f>ROUND(B93*'electricity per guestroom'!$E$20,0)</f>
        <v>0</v>
      </c>
      <c r="D93" s="14"/>
      <c r="E93" s="13">
        <f>ROUND(D93*'electricity per conference room'!$B$12,0)</f>
        <v>0</v>
      </c>
      <c r="F93" s="69"/>
      <c r="G93" s="70"/>
      <c r="H93" s="68" t="e">
        <f t="shared" si="41"/>
        <v>#DIV/0!</v>
      </c>
      <c r="I93" s="35" t="e">
        <f t="shared" si="42"/>
        <v>#DIV/0!</v>
      </c>
      <c r="J93" s="35" t="e">
        <f t="shared" si="43"/>
        <v>#DIV/0!</v>
      </c>
      <c r="L93" s="14"/>
      <c r="M93" s="13">
        <f>ROUND(L93*'water per guest'!$F$15,0)</f>
        <v>0</v>
      </c>
      <c r="N93" s="69"/>
      <c r="O93" s="70"/>
      <c r="P93" s="68" t="e">
        <f t="shared" si="44"/>
        <v>#DIV/0!</v>
      </c>
      <c r="Q93" s="35" t="e">
        <f t="shared" si="45"/>
        <v>#DIV/0!</v>
      </c>
      <c r="R93" s="35" t="e">
        <f t="shared" si="46"/>
        <v>#DIV/0!</v>
      </c>
      <c r="T93" s="35" t="e">
        <f t="shared" si="47"/>
        <v>#DIV/0!</v>
      </c>
    </row>
    <row r="94" spans="1:20" ht="12.75">
      <c r="A94">
        <v>201108</v>
      </c>
      <c r="B94" s="14"/>
      <c r="C94" s="13">
        <f>ROUND(B94*'electricity per guestroom'!$E$20,0)</f>
        <v>0</v>
      </c>
      <c r="D94" s="14"/>
      <c r="E94" s="13">
        <f>ROUND(D94*'electricity per conference room'!$B$12,0)</f>
        <v>0</v>
      </c>
      <c r="F94" s="69"/>
      <c r="G94" s="70"/>
      <c r="H94" s="68" t="e">
        <f t="shared" si="41"/>
        <v>#DIV/0!</v>
      </c>
      <c r="I94" s="35" t="e">
        <f t="shared" si="42"/>
        <v>#DIV/0!</v>
      </c>
      <c r="J94" s="35" t="e">
        <f t="shared" si="43"/>
        <v>#DIV/0!</v>
      </c>
      <c r="L94" s="14"/>
      <c r="M94" s="13">
        <f>ROUND(L94*'water per guest'!$F$15,0)</f>
        <v>0</v>
      </c>
      <c r="N94" s="69"/>
      <c r="O94" s="70"/>
      <c r="P94" s="68" t="e">
        <f t="shared" si="44"/>
        <v>#DIV/0!</v>
      </c>
      <c r="Q94" s="35" t="e">
        <f t="shared" si="45"/>
        <v>#DIV/0!</v>
      </c>
      <c r="R94" s="35" t="e">
        <f t="shared" si="46"/>
        <v>#DIV/0!</v>
      </c>
      <c r="T94" s="35" t="e">
        <f t="shared" si="47"/>
        <v>#DIV/0!</v>
      </c>
    </row>
    <row r="95" spans="1:20" ht="12.75">
      <c r="A95">
        <v>201109</v>
      </c>
      <c r="B95" s="14"/>
      <c r="C95" s="13">
        <f>ROUND(B95*'electricity per guestroom'!$E$20,0)</f>
        <v>0</v>
      </c>
      <c r="D95" s="14"/>
      <c r="E95" s="13">
        <f>ROUND(D95*'electricity per conference room'!$B$12,0)</f>
        <v>0</v>
      </c>
      <c r="F95" s="69"/>
      <c r="G95" s="70"/>
      <c r="H95" s="68" t="e">
        <f t="shared" si="41"/>
        <v>#DIV/0!</v>
      </c>
      <c r="I95" s="35" t="e">
        <f t="shared" si="42"/>
        <v>#DIV/0!</v>
      </c>
      <c r="J95" s="35" t="e">
        <f t="shared" si="43"/>
        <v>#DIV/0!</v>
      </c>
      <c r="L95" s="14"/>
      <c r="M95" s="13">
        <f>ROUND(L95*'water per guest'!$F$15,0)</f>
        <v>0</v>
      </c>
      <c r="N95" s="69"/>
      <c r="O95" s="70"/>
      <c r="P95" s="68" t="e">
        <f t="shared" si="44"/>
        <v>#DIV/0!</v>
      </c>
      <c r="Q95" s="35" t="e">
        <f t="shared" si="45"/>
        <v>#DIV/0!</v>
      </c>
      <c r="R95" s="35" t="e">
        <f t="shared" si="46"/>
        <v>#DIV/0!</v>
      </c>
      <c r="T95" s="35" t="e">
        <f t="shared" si="47"/>
        <v>#DIV/0!</v>
      </c>
    </row>
    <row r="96" spans="1:20" ht="12.75">
      <c r="A96">
        <v>201110</v>
      </c>
      <c r="B96" s="14"/>
      <c r="C96" s="13">
        <f>ROUND(B96*'electricity per guestroom'!$E$20,0)</f>
        <v>0</v>
      </c>
      <c r="D96" s="14"/>
      <c r="E96" s="13">
        <f>ROUND(D96*'electricity per conference room'!$B$12,0)</f>
        <v>0</v>
      </c>
      <c r="F96" s="69"/>
      <c r="G96" s="70"/>
      <c r="H96" s="68" t="e">
        <f t="shared" si="41"/>
        <v>#DIV/0!</v>
      </c>
      <c r="I96" s="35" t="e">
        <f t="shared" si="42"/>
        <v>#DIV/0!</v>
      </c>
      <c r="J96" s="35" t="e">
        <f t="shared" si="43"/>
        <v>#DIV/0!</v>
      </c>
      <c r="L96" s="14"/>
      <c r="M96" s="13">
        <f>ROUND(L96*'water per guest'!$F$15,0)</f>
        <v>0</v>
      </c>
      <c r="N96" s="69"/>
      <c r="O96" s="70"/>
      <c r="P96" s="68" t="e">
        <f t="shared" si="44"/>
        <v>#DIV/0!</v>
      </c>
      <c r="Q96" s="35" t="e">
        <f t="shared" si="45"/>
        <v>#DIV/0!</v>
      </c>
      <c r="R96" s="35" t="e">
        <f t="shared" si="46"/>
        <v>#DIV/0!</v>
      </c>
      <c r="T96" s="35" t="e">
        <f t="shared" si="47"/>
        <v>#DIV/0!</v>
      </c>
    </row>
    <row r="97" spans="1:20" ht="12.75">
      <c r="A97">
        <v>201111</v>
      </c>
      <c r="B97" s="14"/>
      <c r="C97" s="13">
        <f>ROUND(B97*'electricity per guestroom'!$E$20,0)</f>
        <v>0</v>
      </c>
      <c r="D97" s="14"/>
      <c r="E97" s="13">
        <f>ROUND(D97*'electricity per conference room'!$B$12,0)</f>
        <v>0</v>
      </c>
      <c r="F97" s="69"/>
      <c r="G97" s="70"/>
      <c r="H97" s="68" t="e">
        <f t="shared" si="41"/>
        <v>#DIV/0!</v>
      </c>
      <c r="I97" s="35" t="e">
        <f t="shared" si="42"/>
        <v>#DIV/0!</v>
      </c>
      <c r="J97" s="35" t="e">
        <f t="shared" si="43"/>
        <v>#DIV/0!</v>
      </c>
      <c r="L97" s="14"/>
      <c r="M97" s="13">
        <f>ROUND(L97*'water per guest'!$F$15,0)</f>
        <v>0</v>
      </c>
      <c r="N97" s="69"/>
      <c r="O97" s="70"/>
      <c r="P97" s="68" t="e">
        <f t="shared" si="44"/>
        <v>#DIV/0!</v>
      </c>
      <c r="Q97" s="35" t="e">
        <f t="shared" si="45"/>
        <v>#DIV/0!</v>
      </c>
      <c r="R97" s="35" t="e">
        <f t="shared" si="46"/>
        <v>#DIV/0!</v>
      </c>
      <c r="T97" s="35" t="e">
        <f t="shared" si="47"/>
        <v>#DIV/0!</v>
      </c>
    </row>
    <row r="98" spans="1:20" ht="12.75">
      <c r="A98">
        <v>201112</v>
      </c>
      <c r="B98" s="14"/>
      <c r="C98" s="13">
        <f>ROUND(B98*'electricity per guestroom'!$E$20,0)</f>
        <v>0</v>
      </c>
      <c r="D98" s="14"/>
      <c r="E98" s="13">
        <f>ROUND(D98*'electricity per conference room'!$B$12,0)</f>
        <v>0</v>
      </c>
      <c r="F98" s="69"/>
      <c r="G98" s="70"/>
      <c r="H98" s="68" t="e">
        <f t="shared" si="41"/>
        <v>#DIV/0!</v>
      </c>
      <c r="I98" s="35" t="e">
        <f t="shared" si="42"/>
        <v>#DIV/0!</v>
      </c>
      <c r="J98" s="35" t="e">
        <f t="shared" si="43"/>
        <v>#DIV/0!</v>
      </c>
      <c r="L98" s="14"/>
      <c r="M98" s="13">
        <f>ROUND(L98*'water per guest'!$F$15,0)</f>
        <v>0</v>
      </c>
      <c r="N98" s="69"/>
      <c r="O98" s="70"/>
      <c r="P98" s="68" t="e">
        <f t="shared" si="44"/>
        <v>#DIV/0!</v>
      </c>
      <c r="Q98" s="35" t="e">
        <f t="shared" si="45"/>
        <v>#DIV/0!</v>
      </c>
      <c r="R98" s="35" t="e">
        <f t="shared" si="46"/>
        <v>#DIV/0!</v>
      </c>
      <c r="T98" s="35" t="e">
        <f t="shared" si="47"/>
        <v>#DIV/0!</v>
      </c>
    </row>
    <row r="99" spans="1:20" ht="12.75">
      <c r="A99" t="s">
        <v>35</v>
      </c>
      <c r="B99" s="15">
        <f aca="true" t="shared" si="48" ref="B99:G99">SUM(B87:B98)</f>
        <v>0</v>
      </c>
      <c r="C99" s="15">
        <f t="shared" si="48"/>
        <v>0</v>
      </c>
      <c r="D99" s="15">
        <f t="shared" si="48"/>
        <v>0</v>
      </c>
      <c r="E99" s="15">
        <f t="shared" si="48"/>
        <v>0</v>
      </c>
      <c r="F99" s="15">
        <f t="shared" si="48"/>
        <v>0</v>
      </c>
      <c r="G99" s="67">
        <f t="shared" si="48"/>
        <v>0</v>
      </c>
      <c r="I99" s="67" t="e">
        <f>SUM(I87:I98)</f>
        <v>#DIV/0!</v>
      </c>
      <c r="J99" s="67" t="e">
        <f>SUM(J87:J98)</f>
        <v>#DIV/0!</v>
      </c>
      <c r="L99" s="15">
        <f>SUM(L87:L98)</f>
        <v>0</v>
      </c>
      <c r="M99" s="15">
        <f>SUM(M87:M98)</f>
        <v>0</v>
      </c>
      <c r="N99" s="15">
        <f>SUM(N87:N98)</f>
        <v>0</v>
      </c>
      <c r="O99" s="67">
        <f>SUM(O87:O98)</f>
        <v>0</v>
      </c>
      <c r="Q99" s="67" t="e">
        <f>SUM(Q87:Q98)</f>
        <v>#DIV/0!</v>
      </c>
      <c r="R99" s="67" t="e">
        <f>SUM(R87:R98)</f>
        <v>#DIV/0!</v>
      </c>
      <c r="T99" s="67" t="e">
        <f>SUM(T87:T98)</f>
        <v>#DIV/0!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GaikoS</dc:creator>
  <cp:keywords/>
  <dc:description/>
  <cp:lastModifiedBy>GardnJ</cp:lastModifiedBy>
  <cp:lastPrinted>2005-03-22T23:47:00Z</cp:lastPrinted>
  <dcterms:created xsi:type="dcterms:W3CDTF">2002-11-12T16:14:34Z</dcterms:created>
  <dcterms:modified xsi:type="dcterms:W3CDTF">2006-02-23T02:42:20Z</dcterms:modified>
  <cp:category/>
  <cp:version/>
  <cp:contentType/>
  <cp:contentStatus/>
</cp:coreProperties>
</file>