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D7B8F58E-34C6-42E9-907C-71DECA8B4C07}" xr6:coauthVersionLast="47" xr6:coauthVersionMax="47" xr10:uidLastSave="{00000000-0000-0000-0000-000000000000}"/>
  <bookViews>
    <workbookView xWindow="57480" yWindow="-165" windowWidth="29040" windowHeight="15720" xr2:uid="{DD8B6685-F534-4B7E-9252-F2BF3EF36B36}"/>
  </bookViews>
  <sheets>
    <sheet name="Dec 2025 Collections Summary" sheetId="1" r:id="rId1"/>
    <sheet name="Dec 2025 Gallons Summary" sheetId="2" r:id="rId2"/>
    <sheet name="Dec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C58" i="2" s="1"/>
  <c r="I52" i="2"/>
  <c r="I51" i="2"/>
  <c r="E51" i="2"/>
  <c r="C51" i="2"/>
  <c r="C52" i="2" s="1"/>
  <c r="I50" i="2"/>
  <c r="G50" i="2"/>
  <c r="E50" i="2"/>
  <c r="E52" i="2" s="1"/>
  <c r="C50" i="2"/>
  <c r="H43" i="2"/>
  <c r="F43" i="2"/>
  <c r="D43" i="2"/>
  <c r="B43" i="2"/>
  <c r="H42" i="2"/>
  <c r="D42" i="2"/>
  <c r="B42" i="2"/>
  <c r="F42" i="2" s="1"/>
  <c r="H41" i="2"/>
  <c r="H45" i="2" s="1"/>
  <c r="F41" i="2"/>
  <c r="F45" i="2" s="1"/>
  <c r="D41" i="2"/>
  <c r="D45" i="2" s="1"/>
  <c r="B41" i="2"/>
  <c r="B45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F34" i="2"/>
  <c r="D34" i="2"/>
  <c r="E37" i="2" s="1"/>
  <c r="B34" i="2"/>
  <c r="H33" i="2"/>
  <c r="I37" i="2" s="1"/>
  <c r="I40" i="2" s="1"/>
  <c r="I46" i="2" s="1"/>
  <c r="F33" i="2"/>
  <c r="D33" i="2"/>
  <c r="B33" i="2"/>
  <c r="C37" i="2" s="1"/>
  <c r="I32" i="2"/>
  <c r="E32" i="2"/>
  <c r="E40" i="2" s="1"/>
  <c r="E46" i="2" s="1"/>
  <c r="C32" i="2"/>
  <c r="C40" i="2" s="1"/>
  <c r="C46" i="2" s="1"/>
  <c r="H26" i="2"/>
  <c r="D26" i="2"/>
  <c r="B26" i="2"/>
  <c r="F26" i="2" s="1"/>
  <c r="H25" i="2"/>
  <c r="F25" i="2"/>
  <c r="D25" i="2"/>
  <c r="B25" i="2"/>
  <c r="H24" i="2"/>
  <c r="F24" i="2"/>
  <c r="D24" i="2"/>
  <c r="B24" i="2"/>
  <c r="H23" i="2"/>
  <c r="D23" i="2"/>
  <c r="B23" i="2"/>
  <c r="F23" i="2" s="1"/>
  <c r="H22" i="2"/>
  <c r="F22" i="2"/>
  <c r="D22" i="2"/>
  <c r="B22" i="2"/>
  <c r="H21" i="2"/>
  <c r="I28" i="2" s="1"/>
  <c r="F21" i="2"/>
  <c r="D21" i="2"/>
  <c r="B21" i="2"/>
  <c r="H20" i="2"/>
  <c r="D20" i="2"/>
  <c r="B20" i="2"/>
  <c r="C28" i="2" s="1"/>
  <c r="H19" i="2"/>
  <c r="F19" i="2"/>
  <c r="D19" i="2"/>
  <c r="E28" i="2" s="1"/>
  <c r="B19" i="2"/>
  <c r="H15" i="2"/>
  <c r="F15" i="2"/>
  <c r="D15" i="2"/>
  <c r="B15" i="2"/>
  <c r="I14" i="2"/>
  <c r="I16" i="2" s="1"/>
  <c r="H13" i="2"/>
  <c r="D13" i="2"/>
  <c r="E14" i="2" s="1"/>
  <c r="E16" i="2" s="1"/>
  <c r="B13" i="2"/>
  <c r="C14" i="2" s="1"/>
  <c r="C16" i="2" s="1"/>
  <c r="I9" i="2"/>
  <c r="H8" i="2"/>
  <c r="D8" i="2"/>
  <c r="B8" i="2"/>
  <c r="C9" i="2" s="1"/>
  <c r="H7" i="2"/>
  <c r="F7" i="2"/>
  <c r="D7" i="2"/>
  <c r="E9" i="2" s="1"/>
  <c r="E11" i="2" s="1"/>
  <c r="B7" i="2"/>
  <c r="I5" i="2"/>
  <c r="I11" i="2" s="1"/>
  <c r="I17" i="2" s="1"/>
  <c r="G5" i="2"/>
  <c r="E5" i="2"/>
  <c r="C5" i="2"/>
  <c r="C11" i="2" s="1"/>
  <c r="C17" i="2" s="1"/>
  <c r="C30" i="2" s="1"/>
  <c r="C48" i="2" s="1"/>
  <c r="C54" i="2" s="1"/>
  <c r="E32" i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D16" i="1"/>
  <c r="C16" i="1"/>
  <c r="B16" i="1"/>
  <c r="E15" i="1"/>
  <c r="C15" i="1"/>
  <c r="B15" i="1"/>
  <c r="B19" i="1" s="1"/>
  <c r="E14" i="1"/>
  <c r="C14" i="1"/>
  <c r="B14" i="1"/>
  <c r="D14" i="1" s="1"/>
  <c r="E13" i="1"/>
  <c r="E19" i="1" s="1"/>
  <c r="D13" i="1"/>
  <c r="C13" i="1"/>
  <c r="C19" i="1" s="1"/>
  <c r="B13" i="1"/>
  <c r="B11" i="1"/>
  <c r="E8" i="1"/>
  <c r="C8" i="1"/>
  <c r="B8" i="1"/>
  <c r="D8" i="1" s="1"/>
  <c r="E7" i="1"/>
  <c r="E11" i="1" s="1"/>
  <c r="D7" i="1"/>
  <c r="D11" i="1" s="1"/>
  <c r="C7" i="1"/>
  <c r="C11" i="1" s="1"/>
  <c r="C21" i="1" s="1"/>
  <c r="C26" i="1" s="1"/>
  <c r="C35" i="1" s="1"/>
  <c r="B7" i="1"/>
  <c r="G37" i="2" l="1"/>
  <c r="I30" i="2"/>
  <c r="I48" i="2" s="1"/>
  <c r="I54" i="2" s="1"/>
  <c r="E17" i="2"/>
  <c r="E30" i="2" s="1"/>
  <c r="E48" i="2" s="1"/>
  <c r="E54" i="2" s="1"/>
  <c r="F8" i="2"/>
  <c r="G9" i="2" s="1"/>
  <c r="G11" i="2" s="1"/>
  <c r="G17" i="2" s="1"/>
  <c r="G30" i="2" s="1"/>
  <c r="G48" i="2" s="1"/>
  <c r="G54" i="2" s="1"/>
  <c r="F13" i="2"/>
  <c r="G14" i="2" s="1"/>
  <c r="G16" i="2" s="1"/>
  <c r="F20" i="2"/>
  <c r="G28" i="2" s="1"/>
  <c r="G32" i="2"/>
  <c r="G40" i="2" s="1"/>
  <c r="G46" i="2" s="1"/>
  <c r="G51" i="2"/>
  <c r="G52" i="2" s="1"/>
  <c r="G56" i="2"/>
  <c r="G58" i="2" s="1"/>
  <c r="B21" i="1"/>
  <c r="B26" i="1" s="1"/>
  <c r="B35" i="1" s="1"/>
  <c r="E21" i="1"/>
  <c r="E26" i="1" s="1"/>
  <c r="E35" i="1" s="1"/>
  <c r="D15" i="1"/>
  <c r="D19" i="1" s="1"/>
  <c r="D21" i="1" s="1"/>
  <c r="D26" i="1" s="1"/>
  <c r="D35" i="1" s="1"/>
</calcChain>
</file>

<file path=xl/sharedStrings.xml><?xml version="1.0" encoding="utf-8"?>
<sst xmlns="http://schemas.openxmlformats.org/spreadsheetml/2006/main" count="128" uniqueCount="88">
  <si>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</si>
  <si>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</si>
  <si>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</si>
  <si>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</si>
  <si>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</si>
  <si>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</si>
  <si>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</si>
  <si>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</si>
  <si>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</si>
  <si>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</si>
  <si>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</si>
  <si>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</si>
  <si>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</si>
  <si>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</si>
  <si>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</si>
  <si>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</si>
  <si>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</si>
  <si>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</si>
  <si>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</si>
  <si>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</si>
  <si>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</si>
  <si>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</si>
  <si>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</si>
  <si>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</si>
  <si>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</si>
  <si>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</si>
  <si>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</si>
  <si>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</si>
  <si>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</si>
  <si>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</si>
  <si>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</si>
  <si>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</si>
  <si>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</si>
  <si>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</si>
  <si>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</si>
  <si>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</si>
  <si>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</si>
  <si>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</si>
  <si>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</si>
  <si>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</si>
  <si>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</si>
  <si>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</si>
  <si>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</si>
  <si>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</si>
  <si>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</si>
  <si>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</si>
  <si>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</si>
  <si>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</si>
  <si>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</si>
  <si>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</si>
  <si>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</si>
  <si>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</si>
  <si>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</si>
  <si>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</si>
  <si>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</si>
  <si>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</si>
  <si>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</si>
  <si>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</si>
  <si>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</si>
  <si>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</si>
  <si>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</si>
  <si>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</si>
  <si>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</si>
  <si>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</si>
  <si>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</si>
  <si>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</si>
  <si>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</si>
  <si>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</si>
  <si>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</si>
  <si>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</si>
  <si>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</si>
  <si>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</si>
  <si>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</si>
  <si>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</si>
  <si>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</si>
  <si>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</si>
  <si>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</si>
  <si>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</si>
  <si>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</si>
  <si>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</si>
  <si>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 xml:space="preserve">  S/F (D(ESEL HWY REFUNDS</t>
  </si>
  <si>
    <t>NET AVIATION TAXED</t>
  </si>
  <si>
    <t>REFUNDS(HWY)-GASOLINE</t>
  </si>
  <si>
    <t>REFUNDS(HWY)-SPECIAL FUEL</t>
  </si>
  <si>
    <t>DECEMBER 2025</t>
  </si>
  <si>
    <t>DECEMBER 2024</t>
  </si>
  <si>
    <t>ABOVE FIGURES COMPILED FROM MOTOR FUEL LICENSEE RECORDS OF THE MISSOURI DEPARTMENT OF REVENUE, TAXATION DIVISION, BY ISABELLA WESTERMAN, JANUARY 23, 2026.</t>
  </si>
  <si>
    <t>ABOVE RECORDS COMPILED FROM MOTOR FUEL LICENSEE RECORDS OF THE MISSOURI DEPARTMENT OF REVENUE, TAXATION BUREAU, BY ISABELLA WESTERMAN, JANUARY 23,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</si>
</sst>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4" fillId="0" borderId="0" xfId="4" applyNumberFormat="1" applyFont="1" applyAlignment="1">
      <alignment vertical="center"/>
    </xf>
    <xf numFmtId="37" fontId="4" fillId="0" borderId="0" xfId="4" applyNumberFormat="1" applyFont="1" applyAlignment="1">
      <alignment vertical="center"/>
    </xf>
    <xf numFmtId="38" fontId="4" fillId="0" borderId="0" xfId="4" applyNumberFormat="1" applyFont="1"/>
    <xf numFmtId="10" fontId="4" fillId="2" borderId="0" xfId="4" applyNumberFormat="1" applyFont="1" applyFill="1" applyAlignment="1">
      <alignment vertical="center"/>
    </xf>
    <xf numFmtId="37" fontId="4" fillId="2" borderId="0" xfId="4" applyNumberFormat="1" applyFont="1" applyFill="1" applyAlignment="1">
      <alignment vertical="center"/>
    </xf>
    <xf numFmtId="38" fontId="2" fillId="0" borderId="0" xfId="4" applyNumberFormat="1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38" fontId="4" fillId="2" borderId="0" xfId="0" applyNumberFormat="1" applyFont="1" applyFill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49" fontId="4" fillId="2" borderId="1" xfId="0" applyNumberFormat="1" applyFont="1" applyFill="1" applyBorder="1" applyAlignment="1">
      <alignment vertical="center"/>
    </xf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Normal 5" xfId="4" xr:uid="{52102C91-8ADB-42B0-AE1D-9954076F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file:///S:\Tax\BTS\fuelbond\Excel\2025%20Highway%20Reports\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4.xls" TargetMode="External"/><Relationship Id="rId1" Type="http://schemas.openxmlformats.org/officeDocument/2006/relationships/externalLinkPath" Target="file:///S:\Tax\BTS\fuelbond\Excel\2025%20Highway%20Reports\HWYGAL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4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853008308.08000004</v>
          </cell>
        </row>
        <row r="8">
          <cell r="D8">
            <v>250355771.56</v>
          </cell>
        </row>
        <row r="13">
          <cell r="D13">
            <v>-9911742.7800000012</v>
          </cell>
        </row>
        <row r="14">
          <cell r="D14">
            <v>-1671357.81</v>
          </cell>
        </row>
        <row r="15">
          <cell r="D15">
            <v>-8224887.4699999997</v>
          </cell>
        </row>
        <row r="16">
          <cell r="D16">
            <v>-134105.25</v>
          </cell>
        </row>
        <row r="17">
          <cell r="D17">
            <v>-5587.1599999999989</v>
          </cell>
        </row>
        <row r="23">
          <cell r="D23">
            <v>301931</v>
          </cell>
        </row>
        <row r="24">
          <cell r="D24">
            <v>-21854052.5</v>
          </cell>
        </row>
        <row r="29">
          <cell r="D29">
            <v>267710.16000000003</v>
          </cell>
        </row>
        <row r="30">
          <cell r="D30">
            <v>-2360.85</v>
          </cell>
        </row>
        <row r="32">
          <cell r="D32">
            <v>4014585.3200000003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10151</v>
          </cell>
        </row>
        <row r="30">
          <cell r="B30">
            <v>-50.58</v>
          </cell>
        </row>
      </sheetData>
      <sheetData sheetId="9">
        <row r="7">
          <cell r="B7">
            <v>78507707.599999994</v>
          </cell>
        </row>
        <row r="8">
          <cell r="B8">
            <v>23933000.609999999</v>
          </cell>
        </row>
        <row r="13">
          <cell r="B13">
            <v>-1593095.57</v>
          </cell>
        </row>
        <row r="14">
          <cell r="B14">
            <v>-307308.3</v>
          </cell>
        </row>
        <row r="15">
          <cell r="B15">
            <v>-2036927.77</v>
          </cell>
        </row>
        <row r="16">
          <cell r="B16">
            <v>-25241.08</v>
          </cell>
        </row>
        <row r="17">
          <cell r="B17">
            <v>-760.16</v>
          </cell>
        </row>
        <row r="23">
          <cell r="B23">
            <v>16286.9</v>
          </cell>
        </row>
        <row r="24">
          <cell r="B24">
            <v>-370643.6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58811</v>
          </cell>
        </row>
        <row r="8">
          <cell r="B8">
            <v>26347.51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>
        <row r="7">
          <cell r="B7">
            <v>70972276</v>
          </cell>
        </row>
      </sheetData>
      <sheetData sheetId="4"/>
      <sheetData sheetId="5"/>
      <sheetData sheetId="6"/>
      <sheetData sheetId="7">
        <row r="7">
          <cell r="B7">
            <v>74717948.760000005</v>
          </cell>
        </row>
      </sheetData>
      <sheetData sheetId="8"/>
      <sheetData sheetId="9"/>
      <sheetData sheetId="10"/>
      <sheetData sheetId="11">
        <row r="7">
          <cell r="B7">
            <v>69773272</v>
          </cell>
          <cell r="D7">
            <v>802148937.18000007</v>
          </cell>
        </row>
        <row r="8">
          <cell r="B8">
            <v>23576464.600000001</v>
          </cell>
          <cell r="D8">
            <v>294257047.81999999</v>
          </cell>
        </row>
        <row r="13">
          <cell r="B13">
            <v>-272063.98</v>
          </cell>
          <cell r="D13">
            <v>-4988540.5850000009</v>
          </cell>
        </row>
        <row r="14">
          <cell r="B14">
            <v>-2732.42</v>
          </cell>
          <cell r="D14">
            <v>-1573879.0699999998</v>
          </cell>
        </row>
        <row r="15">
          <cell r="B15">
            <v>-1014324.09</v>
          </cell>
          <cell r="D15">
            <v>-7371036.919999999</v>
          </cell>
        </row>
        <row r="16">
          <cell r="B16">
            <v>-1607.62</v>
          </cell>
          <cell r="D16">
            <v>-1012266.3099999999</v>
          </cell>
        </row>
        <row r="17">
          <cell r="B17">
            <v>-520.77</v>
          </cell>
          <cell r="D17">
            <v>-5385.09</v>
          </cell>
        </row>
        <row r="23">
          <cell r="B23">
            <v>42167.79</v>
          </cell>
          <cell r="D23">
            <v>440259.83</v>
          </cell>
        </row>
        <row r="24">
          <cell r="B24">
            <v>-382505.59</v>
          </cell>
          <cell r="D24">
            <v>-21583355.189999998</v>
          </cell>
        </row>
        <row r="29">
          <cell r="B29">
            <v>16172</v>
          </cell>
          <cell r="D29">
            <v>231474</v>
          </cell>
        </row>
        <row r="30">
          <cell r="B30">
            <v>0</v>
          </cell>
          <cell r="D30">
            <v>-3037.6</v>
          </cell>
        </row>
        <row r="32">
          <cell r="B32">
            <v>200837.96</v>
          </cell>
          <cell r="D32">
            <v>2842785.4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5"/>
      <sheetName val="9% NOV"/>
      <sheetName val="295% NOV"/>
      <sheetName val="17% NOV"/>
      <sheetName val="SUM NOV 25"/>
      <sheetName val="9% DEC"/>
      <sheetName val="295% DEC"/>
      <sheetName val="17% DEC"/>
      <sheetName val="SUM DEC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3346285350</v>
          </cell>
        </row>
        <row r="7">
          <cell r="F7">
            <v>195816829</v>
          </cell>
        </row>
        <row r="8">
          <cell r="F8">
            <v>0</v>
          </cell>
        </row>
        <row r="13">
          <cell r="F13">
            <v>1579374</v>
          </cell>
        </row>
        <row r="15">
          <cell r="F15">
            <v>92349326</v>
          </cell>
        </row>
        <row r="19">
          <cell r="F19">
            <v>2588055</v>
          </cell>
        </row>
        <row r="20">
          <cell r="F20">
            <v>0</v>
          </cell>
        </row>
        <row r="21">
          <cell r="F21">
            <v>2700</v>
          </cell>
        </row>
        <row r="22">
          <cell r="F22">
            <v>1382893</v>
          </cell>
        </row>
        <row r="23">
          <cell r="F23">
            <v>6905316</v>
          </cell>
        </row>
        <row r="24">
          <cell r="F24">
            <v>20763041</v>
          </cell>
        </row>
        <row r="25">
          <cell r="F25">
            <v>4248886</v>
          </cell>
        </row>
        <row r="26">
          <cell r="F26">
            <v>22284772</v>
          </cell>
        </row>
        <row r="32">
          <cell r="G32">
            <v>1222777511</v>
          </cell>
        </row>
        <row r="33">
          <cell r="F33">
            <v>71890216</v>
          </cell>
        </row>
        <row r="34">
          <cell r="F34">
            <v>293929</v>
          </cell>
        </row>
        <row r="35">
          <cell r="F35">
            <v>0</v>
          </cell>
        </row>
        <row r="36">
          <cell r="F36">
            <v>235515892</v>
          </cell>
        </row>
        <row r="38">
          <cell r="F38">
            <v>17306296</v>
          </cell>
        </row>
        <row r="41">
          <cell r="F41">
            <v>29782159</v>
          </cell>
        </row>
        <row r="42">
          <cell r="F42">
            <v>1788070</v>
          </cell>
        </row>
        <row r="43">
          <cell r="F43">
            <v>20211</v>
          </cell>
        </row>
        <row r="50">
          <cell r="G50">
            <v>1083029</v>
          </cell>
        </row>
        <row r="51">
          <cell r="G51">
            <v>-78163216</v>
          </cell>
        </row>
        <row r="56">
          <cell r="G56">
            <v>2976980</v>
          </cell>
        </row>
        <row r="57">
          <cell r="G57">
            <v>-26232</v>
          </cell>
        </row>
      </sheetData>
      <sheetData sheetId="8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112989</v>
          </cell>
        </row>
        <row r="57">
          <cell r="C57">
            <v>-562</v>
          </cell>
        </row>
      </sheetData>
      <sheetData sheetId="9">
        <row r="5">
          <cell r="C5">
            <v>291692807</v>
          </cell>
        </row>
        <row r="7">
          <cell r="B7">
            <v>17016382</v>
          </cell>
        </row>
        <row r="8">
          <cell r="B8">
            <v>0</v>
          </cell>
        </row>
        <row r="13">
          <cell r="B13">
            <v>156208</v>
          </cell>
        </row>
        <row r="15">
          <cell r="B15">
            <v>8137682</v>
          </cell>
        </row>
        <row r="19">
          <cell r="B19">
            <v>92087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348885</v>
          </cell>
        </row>
        <row r="23">
          <cell r="B23">
            <v>1215060</v>
          </cell>
        </row>
        <row r="24">
          <cell r="B24">
            <v>3286821</v>
          </cell>
        </row>
        <row r="25">
          <cell r="B25">
            <v>457471</v>
          </cell>
        </row>
        <row r="26">
          <cell r="B26">
            <v>4097444</v>
          </cell>
        </row>
        <row r="32">
          <cell r="C32">
            <v>117877015</v>
          </cell>
        </row>
        <row r="33">
          <cell r="B33">
            <v>7949628</v>
          </cell>
        </row>
        <row r="34">
          <cell r="B34">
            <v>26115</v>
          </cell>
        </row>
        <row r="35">
          <cell r="B35">
            <v>0</v>
          </cell>
        </row>
        <row r="36">
          <cell r="B36">
            <v>27081540</v>
          </cell>
        </row>
        <row r="38">
          <cell r="B38">
            <v>1588890</v>
          </cell>
        </row>
        <row r="41">
          <cell r="B41">
            <v>6904840</v>
          </cell>
        </row>
        <row r="42">
          <cell r="B42">
            <v>336548</v>
          </cell>
        </row>
        <row r="43">
          <cell r="B43">
            <v>2577</v>
          </cell>
        </row>
        <row r="50">
          <cell r="C50">
            <v>55210</v>
          </cell>
        </row>
        <row r="51">
          <cell r="C51">
            <v>-1256419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0">
        <row r="5">
          <cell r="C5">
            <v>345947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154985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4"/>
      <sheetName val="9% NOV"/>
      <sheetName val="27% NOV"/>
      <sheetName val="11% NOV"/>
      <sheetName val="SUM NOV 24"/>
      <sheetName val="9% DEC"/>
      <sheetName val="27% DEC"/>
      <sheetName val="11% DEC"/>
      <sheetName val="SUM DEC 24"/>
    </sheetNames>
    <sheetDataSet>
      <sheetData sheetId="0"/>
      <sheetData sheetId="1"/>
      <sheetData sheetId="2"/>
      <sheetData sheetId="3">
        <row r="5">
          <cell r="C5">
            <v>284996514</v>
          </cell>
        </row>
      </sheetData>
      <sheetData sheetId="4"/>
      <sheetData sheetId="5"/>
      <sheetData sheetId="6"/>
      <sheetData sheetId="7">
        <row r="5">
          <cell r="C5">
            <v>300953138</v>
          </cell>
        </row>
      </sheetData>
      <sheetData sheetId="8"/>
      <sheetData sheetId="9"/>
      <sheetData sheetId="10"/>
      <sheetData sheetId="11">
        <row r="5">
          <cell r="C5">
            <v>286975200</v>
          </cell>
          <cell r="G5">
            <v>3427425386.181818</v>
          </cell>
        </row>
        <row r="7">
          <cell r="B7">
            <v>20365187</v>
          </cell>
          <cell r="F7">
            <v>191726295</v>
          </cell>
        </row>
        <row r="8">
          <cell r="B8">
            <v>0</v>
          </cell>
          <cell r="F8">
            <v>0</v>
          </cell>
        </row>
        <row r="13">
          <cell r="B13">
            <v>114771</v>
          </cell>
          <cell r="F13">
            <v>1955217</v>
          </cell>
        </row>
        <row r="15">
          <cell r="B15">
            <v>7746034</v>
          </cell>
          <cell r="F15">
            <v>94622032.497811139</v>
          </cell>
        </row>
        <row r="19">
          <cell r="B19">
            <v>71655</v>
          </cell>
          <cell r="F19">
            <v>3308414.2653061226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2437.5714285714284</v>
          </cell>
        </row>
        <row r="22">
          <cell r="B22">
            <v>13319</v>
          </cell>
          <cell r="F22">
            <v>1966192.530612245</v>
          </cell>
        </row>
        <row r="23">
          <cell r="B23">
            <v>62215</v>
          </cell>
          <cell r="F23">
            <v>5656942.3877551015</v>
          </cell>
        </row>
        <row r="24">
          <cell r="B24">
            <v>844625</v>
          </cell>
          <cell r="F24">
            <v>6719813.2448979598</v>
          </cell>
        </row>
        <row r="25">
          <cell r="B25">
            <v>15830</v>
          </cell>
          <cell r="F25">
            <v>1709324.1224489796</v>
          </cell>
        </row>
        <row r="26">
          <cell r="B26">
            <v>36432</v>
          </cell>
          <cell r="F26">
            <v>21665434.199999999</v>
          </cell>
        </row>
        <row r="32">
          <cell r="C32">
            <v>111400253</v>
          </cell>
          <cell r="G32">
            <v>1521878842.823992</v>
          </cell>
        </row>
        <row r="33">
          <cell r="B33">
            <v>4606643</v>
          </cell>
          <cell r="F33">
            <v>71461917</v>
          </cell>
        </row>
        <row r="34">
          <cell r="B34">
            <v>26969</v>
          </cell>
          <cell r="F34">
            <v>442388</v>
          </cell>
        </row>
        <row r="35">
          <cell r="B35">
            <v>0</v>
          </cell>
          <cell r="F35">
            <v>0</v>
          </cell>
        </row>
        <row r="36">
          <cell r="B36">
            <v>17661821</v>
          </cell>
          <cell r="F36">
            <v>272100963</v>
          </cell>
        </row>
        <row r="38">
          <cell r="B38">
            <v>104659</v>
          </cell>
          <cell r="F38">
            <v>19916950.412118152</v>
          </cell>
        </row>
        <row r="41">
          <cell r="B41">
            <v>3756756</v>
          </cell>
          <cell r="F41">
            <v>32001436.06122449</v>
          </cell>
        </row>
        <row r="42">
          <cell r="B42">
            <v>21435</v>
          </cell>
          <cell r="F42">
            <v>3295903</v>
          </cell>
        </row>
        <row r="43">
          <cell r="B43">
            <v>1929</v>
          </cell>
          <cell r="F43">
            <v>21232.265306122448</v>
          </cell>
        </row>
        <row r="50">
          <cell r="C50">
            <v>156177</v>
          </cell>
          <cell r="G50">
            <v>1712834.693877551</v>
          </cell>
        </row>
        <row r="51">
          <cell r="C51">
            <v>-1416687</v>
          </cell>
          <cell r="G51">
            <v>-84382901.387755096</v>
          </cell>
        </row>
        <row r="56">
          <cell r="C56">
            <v>179889</v>
          </cell>
          <cell r="G56">
            <v>2574480</v>
          </cell>
        </row>
        <row r="57">
          <cell r="C57">
            <v>0</v>
          </cell>
          <cell r="G57">
            <v>-33751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view="pageBreakPreview" zoomScale="60" zoomScaleNormal="85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6" t="s">
        <v>0</v>
      </c>
      <c r="B1" s="16"/>
      <c r="C1" s="26"/>
      <c r="D1" s="27"/>
      <c r="E1" s="28"/>
    </row>
    <row r="2" spans="1:6" ht="15.75" x14ac:dyDescent="0.25">
      <c r="A2" s="26" t="s">
        <v>59</v>
      </c>
      <c r="B2" s="16"/>
      <c r="C2" s="26"/>
      <c r="D2" s="27"/>
      <c r="E2" s="16"/>
      <c r="F2" s="28"/>
    </row>
    <row r="3" spans="1:6" ht="15.75" x14ac:dyDescent="0.25">
      <c r="A3" s="29" t="s">
        <v>20</v>
      </c>
      <c r="B3" s="29"/>
      <c r="C3" s="29"/>
      <c r="D3" s="29"/>
      <c r="E3" s="30"/>
    </row>
    <row r="4" spans="1:6" ht="15.75" x14ac:dyDescent="0.25">
      <c r="A4" s="30"/>
      <c r="B4" s="29"/>
      <c r="C4" s="29"/>
      <c r="D4" s="29"/>
      <c r="E4" s="30"/>
    </row>
    <row r="5" spans="1:6" s="13" customFormat="1" ht="15.75" x14ac:dyDescent="0.25">
      <c r="A5" s="31"/>
      <c r="B5" s="32" t="s">
        <v>84</v>
      </c>
      <c r="C5" s="32" t="s">
        <v>85</v>
      </c>
      <c r="D5" s="32" t="s">
        <v>71</v>
      </c>
      <c r="E5" s="32" t="s">
        <v>23</v>
      </c>
    </row>
    <row r="6" spans="1:6" ht="15.75" x14ac:dyDescent="0.25">
      <c r="A6" s="33"/>
      <c r="B6" s="34"/>
      <c r="C6" s="35"/>
      <c r="D6" s="36"/>
      <c r="E6" s="35"/>
    </row>
    <row r="7" spans="1:6" ht="15.75" x14ac:dyDescent="0.25">
      <c r="A7" s="37" t="s">
        <v>60</v>
      </c>
      <c r="B7" s="38">
        <f>+'[1]9% DEC'!B7+'[1]17% DEC'!B7+'[1]295% DEC'!B7</f>
        <v>78566518.599999994</v>
      </c>
      <c r="C7" s="39">
        <f>'[2]SUM DEC 2024'!$B$7</f>
        <v>69773272</v>
      </c>
      <c r="D7" s="39">
        <f>SUM(B7+'[1]SUM NOV 2025'!D7)</f>
        <v>931574826.68000007</v>
      </c>
      <c r="E7" s="40">
        <f>'[2]SUM DEC 2024'!$D$7</f>
        <v>802148937.18000007</v>
      </c>
    </row>
    <row r="8" spans="1:6" ht="15.75" x14ac:dyDescent="0.25">
      <c r="A8" s="33" t="s">
        <v>61</v>
      </c>
      <c r="B8" s="41">
        <f>+'[1]9% DEC'!B8+'[1]17% DEC'!B8+'[1]295% DEC'!B8</f>
        <v>23959348.120000001</v>
      </c>
      <c r="C8" s="42">
        <f>'[2]SUM DEC 2024'!$B$8</f>
        <v>23576464.600000001</v>
      </c>
      <c r="D8" s="43">
        <f>SUM(B8+'[1]SUM NOV 2025'!D8)</f>
        <v>274315119.68000001</v>
      </c>
      <c r="E8" s="44">
        <f>'[2]SUM DEC 2024'!$D$8</f>
        <v>294257047.81999999</v>
      </c>
    </row>
    <row r="9" spans="1:6" ht="16.5" thickBot="1" x14ac:dyDescent="0.3">
      <c r="A9" s="45"/>
      <c r="B9" s="46"/>
      <c r="C9" s="45"/>
      <c r="D9" s="45"/>
      <c r="E9" s="47"/>
    </row>
    <row r="10" spans="1:6" ht="16.5" thickTop="1" x14ac:dyDescent="0.25">
      <c r="A10" s="48"/>
      <c r="B10" s="42"/>
      <c r="C10" s="42"/>
      <c r="D10" s="49"/>
      <c r="E10" s="49"/>
    </row>
    <row r="11" spans="1:6" ht="16.5" thickBot="1" x14ac:dyDescent="0.3">
      <c r="A11" s="50" t="s">
        <v>62</v>
      </c>
      <c r="B11" s="47">
        <f>SUM(B7:B8)</f>
        <v>102525866.72</v>
      </c>
      <c r="C11" s="47">
        <f>SUM(C7:C8)</f>
        <v>93349736.599999994</v>
      </c>
      <c r="D11" s="47">
        <f>SUM(D7:D8)</f>
        <v>1205889946.3600001</v>
      </c>
      <c r="E11" s="47">
        <f>SUM(E7:E8)</f>
        <v>1096405985</v>
      </c>
    </row>
    <row r="12" spans="1:6" ht="16.5" thickTop="1" x14ac:dyDescent="0.25">
      <c r="A12" s="48"/>
      <c r="B12" s="42"/>
      <c r="C12" s="42"/>
      <c r="D12" s="49"/>
      <c r="E12" s="49"/>
    </row>
    <row r="13" spans="1:6" ht="15.75" x14ac:dyDescent="0.25">
      <c r="A13" s="37" t="s">
        <v>63</v>
      </c>
      <c r="B13" s="39">
        <f>+'[1]9% DEC'!B13+'[1]17% DEC'!B13+'[1]295% DEC'!B13</f>
        <v>-1593095.57</v>
      </c>
      <c r="C13" s="39">
        <f>'[2]SUM DEC 2024'!$B$13</f>
        <v>-272063.98</v>
      </c>
      <c r="D13" s="39">
        <f>SUM(B13+'[1]SUM NOV 2025'!D13)</f>
        <v>-11504838.350000001</v>
      </c>
      <c r="E13" s="39">
        <f>'[2]SUM DEC 2024'!$D$13</f>
        <v>-4988540.5850000009</v>
      </c>
    </row>
    <row r="14" spans="1:6" ht="15.75" x14ac:dyDescent="0.25">
      <c r="A14" s="48" t="s">
        <v>82</v>
      </c>
      <c r="B14" s="49">
        <f>'[1]295% DEC'!B14</f>
        <v>-307308.3</v>
      </c>
      <c r="C14" s="49">
        <f>'[2]SUM DEC 2024'!$B$14</f>
        <v>-2732.42</v>
      </c>
      <c r="D14" s="49">
        <f>B14+'[1]SUM NOV 2025'!D14</f>
        <v>-1978666.11</v>
      </c>
      <c r="E14" s="49">
        <f>'[2]SUM DEC 2024'!$D$14</f>
        <v>-1573879.0699999998</v>
      </c>
    </row>
    <row r="15" spans="1:6" ht="15.75" x14ac:dyDescent="0.25">
      <c r="A15" s="37" t="s">
        <v>79</v>
      </c>
      <c r="B15" s="39">
        <f>+'[1]9% DEC'!B15+'[1]17% DEC'!B15+'[1]295% DEC'!B15</f>
        <v>-2036927.77</v>
      </c>
      <c r="C15" s="39">
        <f>'[2]SUM DEC 2024'!$B$15</f>
        <v>-1014324.09</v>
      </c>
      <c r="D15" s="39">
        <f>SUM(B15+'[1]SUM NOV 2025'!D15)</f>
        <v>-10261815.24</v>
      </c>
      <c r="E15" s="39">
        <f>'[2]SUM DEC 2024'!$D$15</f>
        <v>-7371036.919999999</v>
      </c>
    </row>
    <row r="16" spans="1:6" ht="15.75" x14ac:dyDescent="0.25">
      <c r="A16" s="48" t="s">
        <v>83</v>
      </c>
      <c r="B16" s="49">
        <f>'[1]295% DEC'!B16</f>
        <v>-25241.08</v>
      </c>
      <c r="C16" s="49">
        <f>'[2]SUM DEC 2024'!$B$16</f>
        <v>-1607.62</v>
      </c>
      <c r="D16" s="49">
        <f>B16+'[1]SUM NOV 2025'!D16</f>
        <v>-159346.33000000002</v>
      </c>
      <c r="E16" s="49">
        <f>'[2]SUM DEC 2024'!$D$16</f>
        <v>-1012266.3099999999</v>
      </c>
    </row>
    <row r="17" spans="1:8" ht="16.5" thickBot="1" x14ac:dyDescent="0.3">
      <c r="A17" s="50" t="s">
        <v>64</v>
      </c>
      <c r="B17" s="51">
        <f>+'[1]9% DEC'!B17+'[1]17% DEC'!B17+'[1]295% DEC'!B17</f>
        <v>-760.16</v>
      </c>
      <c r="C17" s="51">
        <f>'[2]SUM DEC 2024'!$B$17</f>
        <v>-520.77</v>
      </c>
      <c r="D17" s="51">
        <f>SUM(B17+'[1]SUM NOV 2025'!D17)</f>
        <v>-6347.3199999999988</v>
      </c>
      <c r="E17" s="51">
        <f>'[2]SUM DEC 2024'!$D$17</f>
        <v>-5385.09</v>
      </c>
    </row>
    <row r="18" spans="1:8" ht="16.5" thickTop="1" x14ac:dyDescent="0.25">
      <c r="A18" s="52"/>
      <c r="B18" s="53"/>
      <c r="C18" s="53"/>
      <c r="D18" s="54"/>
      <c r="E18" s="54"/>
    </row>
    <row r="19" spans="1:8" ht="16.5" thickBot="1" x14ac:dyDescent="0.3">
      <c r="A19" s="50" t="s">
        <v>42</v>
      </c>
      <c r="B19" s="47">
        <f>SUM(B13:B17)</f>
        <v>-3963332.8800000004</v>
      </c>
      <c r="C19" s="47">
        <f>SUM(C13:C17)</f>
        <v>-1291248.8800000001</v>
      </c>
      <c r="D19" s="47">
        <f>SUM(D13:D17)</f>
        <v>-23911013.350000001</v>
      </c>
      <c r="E19" s="47">
        <f>SUM(E13:E17)</f>
        <v>-14951107.975</v>
      </c>
    </row>
    <row r="20" spans="1:8" ht="16.5" thickTop="1" x14ac:dyDescent="0.25">
      <c r="A20" s="52"/>
      <c r="B20" s="53"/>
      <c r="C20" s="53"/>
      <c r="D20" s="54"/>
      <c r="E20" s="54"/>
    </row>
    <row r="21" spans="1:8" ht="16.5" thickBot="1" x14ac:dyDescent="0.3">
      <c r="A21" s="50" t="s">
        <v>65</v>
      </c>
      <c r="B21" s="47">
        <f>B11+B19</f>
        <v>98562533.840000004</v>
      </c>
      <c r="C21" s="47">
        <f>SUM(C11+C19)</f>
        <v>92058487.719999999</v>
      </c>
      <c r="D21" s="47">
        <f>D11+D19</f>
        <v>1181978933.0100002</v>
      </c>
      <c r="E21" s="47">
        <f>E11+E19</f>
        <v>1081454877.0250001</v>
      </c>
    </row>
    <row r="22" spans="1:8" ht="16.5" thickTop="1" x14ac:dyDescent="0.25">
      <c r="A22" s="52"/>
      <c r="B22" s="53"/>
      <c r="C22" s="53"/>
      <c r="D22" s="54"/>
      <c r="E22" s="54"/>
    </row>
    <row r="23" spans="1:8" ht="15.75" x14ac:dyDescent="0.25">
      <c r="A23" s="37" t="s">
        <v>66</v>
      </c>
      <c r="B23" s="39">
        <f>+'[1]9% DEC'!B23+'[1]17% DEC'!B23+'[1]295% DEC'!B23</f>
        <v>16286.9</v>
      </c>
      <c r="C23" s="39">
        <f>'[2]SUM DEC 2024'!$B$23</f>
        <v>42167.79</v>
      </c>
      <c r="D23" s="39">
        <f>SUM(B23+'[1]SUM NOV 2025'!D23)</f>
        <v>318217.90000000002</v>
      </c>
      <c r="E23" s="39">
        <f>'[2]SUM DEC 2024'!$D$23</f>
        <v>440259.83</v>
      </c>
    </row>
    <row r="24" spans="1:8" ht="16.5" thickBot="1" x14ac:dyDescent="0.3">
      <c r="A24" s="55" t="s">
        <v>67</v>
      </c>
      <c r="B24" s="56">
        <f>+'[1]9% DEC'!B24+'[1]17% DEC'!B24+'[1]295% DEC'!B24</f>
        <v>-370643.6</v>
      </c>
      <c r="C24" s="56">
        <f>'[2]SUM DEC 2024'!$B$24</f>
        <v>-382505.59</v>
      </c>
      <c r="D24" s="57">
        <f>SUM(B24+'[1]SUM NOV 2025'!D24)</f>
        <v>-22224696.100000001</v>
      </c>
      <c r="E24" s="57">
        <f>'[2]SUM DEC 2024'!$D$24</f>
        <v>-21583355.189999998</v>
      </c>
    </row>
    <row r="25" spans="1:8" ht="16.5" thickTop="1" x14ac:dyDescent="0.25">
      <c r="A25" s="58"/>
      <c r="B25" s="59"/>
      <c r="C25" s="59"/>
      <c r="D25" s="59"/>
      <c r="E25" s="59"/>
    </row>
    <row r="26" spans="1:8" ht="15.75" x14ac:dyDescent="0.25">
      <c r="A26" s="33" t="s">
        <v>62</v>
      </c>
      <c r="B26" s="60">
        <f>B21+B23+B24</f>
        <v>98208177.140000015</v>
      </c>
      <c r="C26" s="60">
        <f>SUM(C21+C23+C24)</f>
        <v>91718149.920000002</v>
      </c>
      <c r="D26" s="61">
        <f>D21+D23+D24</f>
        <v>1160072454.8100004</v>
      </c>
      <c r="E26" s="61">
        <f>E21+E23+E24</f>
        <v>1060311781.665</v>
      </c>
    </row>
    <row r="27" spans="1:8" ht="16.5" thickBot="1" x14ac:dyDescent="0.3">
      <c r="A27" s="45"/>
      <c r="B27" s="47"/>
      <c r="C27" s="47"/>
      <c r="D27" s="47"/>
      <c r="E27" s="47"/>
      <c r="H27" s="15"/>
    </row>
    <row r="28" spans="1:8" ht="16.5" thickTop="1" x14ac:dyDescent="0.25">
      <c r="A28" s="33"/>
      <c r="B28" s="43"/>
      <c r="C28" s="43"/>
      <c r="D28" s="44"/>
      <c r="E28" s="44"/>
    </row>
    <row r="29" spans="1:8" ht="15.75" x14ac:dyDescent="0.25">
      <c r="A29" s="37" t="s">
        <v>68</v>
      </c>
      <c r="B29" s="39">
        <f>+'[1]9% DEC'!B29+'[1]17% DEC'!B29+'[1]295% DEC'!B29</f>
        <v>10151</v>
      </c>
      <c r="C29" s="39">
        <f>'[2]SUM DEC 2024'!$B$29</f>
        <v>16172</v>
      </c>
      <c r="D29" s="39">
        <f>SUM(B29+'[1]SUM NOV 2025'!D29)</f>
        <v>277861.16000000003</v>
      </c>
      <c r="E29" s="39">
        <f>'[2]SUM DEC 2024'!$D$29</f>
        <v>231474</v>
      </c>
    </row>
    <row r="30" spans="1:8" ht="15.75" x14ac:dyDescent="0.25">
      <c r="A30" s="33" t="s">
        <v>58</v>
      </c>
      <c r="B30" s="42">
        <f>+'[1]9% DEC'!B30+'[1]17% DEC'!B30+'[1]295% DEC'!B30</f>
        <v>-50.58</v>
      </c>
      <c r="C30" s="42">
        <f>'[2]SUM DEC 2024'!$B$30</f>
        <v>0</v>
      </c>
      <c r="D30" s="44">
        <f>SUM(B30+'[1]SUM NOV 2025'!D30)</f>
        <v>-2411.4299999999998</v>
      </c>
      <c r="E30" s="44">
        <f>'[2]SUM DEC 2024'!$D$30</f>
        <v>-3037.6</v>
      </c>
    </row>
    <row r="31" spans="1:8" ht="15.75" x14ac:dyDescent="0.25">
      <c r="A31" s="62"/>
      <c r="B31" s="58"/>
      <c r="C31" s="58"/>
      <c r="D31" s="58"/>
      <c r="E31" s="58"/>
    </row>
    <row r="32" spans="1:8" ht="15.75" x14ac:dyDescent="0.25">
      <c r="A32" s="33" t="s">
        <v>69</v>
      </c>
      <c r="B32" s="43">
        <f>13840+59786.72</f>
        <v>73626.720000000001</v>
      </c>
      <c r="C32" s="43">
        <f>'[2]SUM DEC 2024'!$B$32</f>
        <v>200837.96</v>
      </c>
      <c r="D32" s="44">
        <f>SUM(B32+'[1]SUM NOV 2025'!D32)</f>
        <v>4088212.0400000005</v>
      </c>
      <c r="E32" s="44">
        <f>'[2]SUM DEC 2024'!$D$32</f>
        <v>2842785.4</v>
      </c>
    </row>
    <row r="33" spans="1:5" ht="16.5" thickBot="1" x14ac:dyDescent="0.3">
      <c r="A33" s="45"/>
      <c r="B33" s="47"/>
      <c r="C33" s="47"/>
      <c r="D33" s="47"/>
      <c r="E33" s="47"/>
    </row>
    <row r="34" spans="1:5" ht="16.5" thickTop="1" x14ac:dyDescent="0.25">
      <c r="A34" s="52"/>
      <c r="B34" s="53"/>
      <c r="C34" s="53"/>
      <c r="D34" s="54"/>
      <c r="E34" s="54"/>
    </row>
    <row r="35" spans="1:5" s="14" customFormat="1" ht="15.75" x14ac:dyDescent="0.25">
      <c r="A35" s="79" t="s">
        <v>70</v>
      </c>
      <c r="B35" s="80">
        <f>B26+B29+B30+B32</f>
        <v>98291904.280000016</v>
      </c>
      <c r="C35" s="80">
        <f>SUM(C26+C29+C30+C32)</f>
        <v>91935159.879999995</v>
      </c>
      <c r="D35" s="80">
        <f>D26+D29+D30+D32</f>
        <v>1164436116.5800004</v>
      </c>
      <c r="E35" s="80">
        <f>E26+E29+E30+E32</f>
        <v>1063383003.4649999</v>
      </c>
    </row>
    <row r="37" spans="1:5" x14ac:dyDescent="0.25">
      <c r="A37" s="81" t="s">
        <v>87</v>
      </c>
      <c r="B37" s="19"/>
      <c r="C37" s="19"/>
      <c r="D37" s="19"/>
      <c r="E37" s="19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55" zoomScaleNormal="85" zoomScaleSheetLayoutView="5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17" t="s">
        <v>21</v>
      </c>
      <c r="B2" s="17"/>
      <c r="C2" s="17"/>
      <c r="D2" s="63"/>
      <c r="E2" s="17"/>
      <c r="F2" s="17"/>
      <c r="G2" s="17"/>
      <c r="H2" s="17"/>
      <c r="I2" s="17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64"/>
      <c r="B4" s="64" t="s">
        <v>84</v>
      </c>
      <c r="C4" s="64"/>
      <c r="D4" s="64" t="s">
        <v>85</v>
      </c>
      <c r="E4" s="64" t="s">
        <v>22</v>
      </c>
      <c r="F4" s="64" t="s">
        <v>71</v>
      </c>
      <c r="G4" s="78"/>
      <c r="H4" s="64" t="s">
        <v>23</v>
      </c>
      <c r="I4" s="64"/>
      <c r="J4" s="2"/>
      <c r="R4" s="1"/>
      <c r="S4" s="1"/>
      <c r="T4" s="1"/>
    </row>
    <row r="5" spans="1:20" ht="15.75" x14ac:dyDescent="0.25">
      <c r="A5" s="2" t="s">
        <v>24</v>
      </c>
      <c r="B5" s="65"/>
      <c r="C5" s="66">
        <f>'[3]9% DEC'!C5+'[3]17% DEC'!C5+'[3]295% DEC'!C5</f>
        <v>292038754</v>
      </c>
      <c r="D5" s="65"/>
      <c r="E5" s="66">
        <f>'[4]SUM DEC 24'!$C$5</f>
        <v>286975200</v>
      </c>
      <c r="F5" s="65"/>
      <c r="G5" s="66">
        <f>+C5+'[3]SUM NOV 25'!G5</f>
        <v>3638324104</v>
      </c>
      <c r="H5" s="65"/>
      <c r="I5" s="66">
        <f>'[4]SUM DEC 24'!$G$5</f>
        <v>3427425386.181818</v>
      </c>
      <c r="J5" s="2"/>
      <c r="R5" s="1"/>
      <c r="S5" s="1"/>
      <c r="T5" s="1"/>
    </row>
    <row r="6" spans="1:20" ht="15.75" x14ac:dyDescent="0.25">
      <c r="A6" s="2"/>
      <c r="B6" s="65"/>
      <c r="C6" s="66"/>
      <c r="D6" s="65"/>
      <c r="E6" s="66"/>
      <c r="F6" s="65"/>
      <c r="G6" s="66"/>
      <c r="H6" s="65"/>
      <c r="I6" s="66"/>
      <c r="J6" s="2"/>
      <c r="R6" s="1"/>
      <c r="S6" s="1"/>
      <c r="T6" s="1"/>
    </row>
    <row r="7" spans="1:20" ht="15.75" x14ac:dyDescent="0.25">
      <c r="A7" s="2" t="s">
        <v>25</v>
      </c>
      <c r="B7" s="65">
        <f>'[3]9% DEC'!B7+'[3]17% DEC'!B7+'[3]295% DEC'!B7</f>
        <v>17016382</v>
      </c>
      <c r="C7" s="66"/>
      <c r="D7" s="65">
        <f>'[4]SUM DEC 24'!$B$7</f>
        <v>20365187</v>
      </c>
      <c r="E7" s="66"/>
      <c r="F7" s="65">
        <f>+B7+'[3]SUM NOV 25'!F7</f>
        <v>212833211</v>
      </c>
      <c r="G7" s="66"/>
      <c r="H7" s="65">
        <f>'[4]SUM DEC 24'!$F$7</f>
        <v>191726295</v>
      </c>
      <c r="I7" s="66"/>
      <c r="J7" s="2"/>
      <c r="R7" s="1"/>
      <c r="S7" s="1"/>
      <c r="T7" s="1"/>
    </row>
    <row r="8" spans="1:20" ht="15.75" x14ac:dyDescent="0.25">
      <c r="A8" s="2" t="s">
        <v>26</v>
      </c>
      <c r="B8" s="65">
        <f>'[3]9% DEC'!B8+'[3]17% DEC'!B8+'[3]295% DEC'!B8</f>
        <v>0</v>
      </c>
      <c r="C8" s="66"/>
      <c r="D8" s="65">
        <f>'[4]SUM DEC 24'!$B$8</f>
        <v>0</v>
      </c>
      <c r="E8" s="66"/>
      <c r="F8" s="65">
        <f>+B8+'[3]SUM NOV 25'!F8</f>
        <v>0</v>
      </c>
      <c r="G8" s="66"/>
      <c r="H8" s="65">
        <f>'[4]SUM DEC 24'!$F$8</f>
        <v>0</v>
      </c>
      <c r="I8" s="66"/>
      <c r="J8" s="2"/>
      <c r="R8" s="1"/>
      <c r="S8" s="1"/>
      <c r="T8" s="1"/>
    </row>
    <row r="9" spans="1:20" ht="15.75" x14ac:dyDescent="0.25">
      <c r="A9" s="2"/>
      <c r="B9" s="65" t="s">
        <v>22</v>
      </c>
      <c r="C9" s="66">
        <f>B7+B8</f>
        <v>17016382</v>
      </c>
      <c r="D9" s="65" t="s">
        <v>22</v>
      </c>
      <c r="E9" s="66">
        <f>D7+D8</f>
        <v>20365187</v>
      </c>
      <c r="F9" s="65" t="s">
        <v>22</v>
      </c>
      <c r="G9" s="66">
        <f>F7+F8</f>
        <v>212833211</v>
      </c>
      <c r="H9" s="65" t="s">
        <v>22</v>
      </c>
      <c r="I9" s="66">
        <f>H7+H8</f>
        <v>191726295</v>
      </c>
      <c r="J9" s="2"/>
      <c r="R9" s="1"/>
      <c r="S9" s="1"/>
      <c r="T9" s="1"/>
    </row>
    <row r="10" spans="1:20" ht="15.75" x14ac:dyDescent="0.25">
      <c r="A10" s="2" t="s">
        <v>27</v>
      </c>
      <c r="B10" s="65"/>
      <c r="C10" s="66" t="s">
        <v>22</v>
      </c>
      <c r="D10" s="65"/>
      <c r="E10" s="66" t="s">
        <v>22</v>
      </c>
      <c r="F10" s="65"/>
      <c r="G10" s="66" t="s">
        <v>22</v>
      </c>
      <c r="H10" s="65"/>
      <c r="I10" s="66" t="s">
        <v>22</v>
      </c>
      <c r="J10" s="2"/>
      <c r="R10" s="1"/>
      <c r="S10" s="1"/>
      <c r="T10" s="1"/>
    </row>
    <row r="11" spans="1:20" ht="15.75" x14ac:dyDescent="0.25">
      <c r="A11" s="64" t="s">
        <v>28</v>
      </c>
      <c r="B11" s="67"/>
      <c r="C11" s="68">
        <f>C5-C9</f>
        <v>275022372</v>
      </c>
      <c r="D11" s="67"/>
      <c r="E11" s="68">
        <f>E5-E9</f>
        <v>266610013</v>
      </c>
      <c r="F11" s="67" t="s">
        <v>22</v>
      </c>
      <c r="G11" s="68">
        <f>G5-G9</f>
        <v>3425490893</v>
      </c>
      <c r="H11" s="67" t="s">
        <v>22</v>
      </c>
      <c r="I11" s="68">
        <f>I5-I9</f>
        <v>3235699091.181818</v>
      </c>
      <c r="J11" s="2"/>
      <c r="R11" s="1"/>
      <c r="S11" s="1"/>
      <c r="T11" s="1"/>
    </row>
    <row r="12" spans="1:20" ht="15.75" x14ac:dyDescent="0.25">
      <c r="A12" s="2" t="s">
        <v>29</v>
      </c>
      <c r="B12" s="65"/>
      <c r="C12" s="66"/>
      <c r="D12" s="65"/>
      <c r="E12" s="66"/>
      <c r="F12" s="65"/>
      <c r="G12" s="66"/>
      <c r="H12" s="65"/>
      <c r="I12" s="66"/>
      <c r="J12" s="2"/>
      <c r="R12" s="1"/>
      <c r="S12" s="1"/>
      <c r="T12" s="1"/>
    </row>
    <row r="13" spans="1:20" ht="15.75" x14ac:dyDescent="0.25">
      <c r="A13" s="2" t="s">
        <v>30</v>
      </c>
      <c r="B13" s="65">
        <f>'[3]9% DEC'!B13+'[3]17% DEC'!B13+'[3]295% DEC'!B13</f>
        <v>156208</v>
      </c>
      <c r="C13" s="66"/>
      <c r="D13" s="65">
        <f>'[4]SUM DEC 24'!$B$13</f>
        <v>114771</v>
      </c>
      <c r="E13" s="66"/>
      <c r="F13" s="65">
        <f>+B13+'[3]SUM NOV 25'!F13</f>
        <v>1735582</v>
      </c>
      <c r="G13" s="66"/>
      <c r="H13" s="65">
        <f>'[4]SUM DEC 24'!$F$13</f>
        <v>1955217</v>
      </c>
      <c r="I13" s="66"/>
      <c r="J13" s="2"/>
      <c r="R13" s="1"/>
      <c r="S13" s="1"/>
      <c r="T13" s="1"/>
    </row>
    <row r="14" spans="1:20" ht="15.75" x14ac:dyDescent="0.25">
      <c r="A14" s="2" t="s">
        <v>31</v>
      </c>
      <c r="B14" s="65" t="s">
        <v>22</v>
      </c>
      <c r="C14" s="66">
        <f>B13</f>
        <v>156208</v>
      </c>
      <c r="D14" s="65" t="s">
        <v>22</v>
      </c>
      <c r="E14" s="66">
        <f>D13</f>
        <v>114771</v>
      </c>
      <c r="F14" s="65" t="s">
        <v>22</v>
      </c>
      <c r="G14" s="66">
        <f>F13</f>
        <v>1735582</v>
      </c>
      <c r="H14" s="65" t="s">
        <v>22</v>
      </c>
      <c r="I14" s="66">
        <f>+H13</f>
        <v>1955217</v>
      </c>
      <c r="J14" s="2"/>
      <c r="R14" s="1"/>
      <c r="S14" s="1"/>
      <c r="T14" s="1"/>
    </row>
    <row r="15" spans="1:20" ht="15.75" x14ac:dyDescent="0.25">
      <c r="A15" s="2" t="s">
        <v>32</v>
      </c>
      <c r="B15" s="65">
        <f>'[3]9% DEC'!B15+'[3]17% DEC'!B15+'[3]295% DEC'!B15</f>
        <v>8137682</v>
      </c>
      <c r="C15" s="66"/>
      <c r="D15" s="65">
        <f>'[4]SUM DEC 24'!$B$15</f>
        <v>7746034</v>
      </c>
      <c r="E15" s="66"/>
      <c r="F15" s="65">
        <f>+B15+'[3]SUM NOV 25'!F15</f>
        <v>100487008</v>
      </c>
      <c r="G15" s="66"/>
      <c r="H15" s="65">
        <f>'[4]SUM DEC 24'!$F$15</f>
        <v>94622032.497811139</v>
      </c>
      <c r="I15" s="66"/>
      <c r="J15" s="2"/>
      <c r="R15" s="1"/>
      <c r="S15" s="1"/>
      <c r="T15" s="1"/>
    </row>
    <row r="16" spans="1:20" ht="15.75" x14ac:dyDescent="0.25">
      <c r="A16" s="2"/>
      <c r="B16" s="65"/>
      <c r="C16" s="66">
        <f>C14+B15</f>
        <v>8293890</v>
      </c>
      <c r="D16" s="65"/>
      <c r="E16" s="66">
        <f>E14+D15</f>
        <v>7860805</v>
      </c>
      <c r="F16" s="65"/>
      <c r="G16" s="66">
        <f>G14+F15</f>
        <v>102222590</v>
      </c>
      <c r="H16" s="65"/>
      <c r="I16" s="66">
        <f>I14+H15</f>
        <v>96577249.497811139</v>
      </c>
      <c r="J16" s="2"/>
      <c r="R16" s="1"/>
      <c r="S16" s="1"/>
      <c r="T16" s="1"/>
    </row>
    <row r="17" spans="1:20" ht="15.75" x14ac:dyDescent="0.25">
      <c r="A17" s="64" t="s">
        <v>33</v>
      </c>
      <c r="B17" s="67"/>
      <c r="C17" s="68">
        <f>C11-C16</f>
        <v>266728482</v>
      </c>
      <c r="D17" s="67"/>
      <c r="E17" s="68">
        <f>E11-E16</f>
        <v>258749208</v>
      </c>
      <c r="F17" s="67"/>
      <c r="G17" s="68">
        <f>G11-G16</f>
        <v>3323268303</v>
      </c>
      <c r="H17" s="67"/>
      <c r="I17" s="68">
        <f>I11-I16</f>
        <v>3139121841.6840067</v>
      </c>
      <c r="J17" s="2"/>
      <c r="R17" s="1"/>
      <c r="S17" s="1"/>
      <c r="T17" s="1"/>
    </row>
    <row r="18" spans="1:20" ht="15.75" x14ac:dyDescent="0.25">
      <c r="A18" s="2" t="s">
        <v>34</v>
      </c>
      <c r="B18" s="65"/>
      <c r="C18" s="66"/>
      <c r="D18" s="65"/>
      <c r="E18" s="66"/>
      <c r="F18" s="65"/>
      <c r="G18" s="66"/>
      <c r="H18" s="65"/>
      <c r="I18" s="66"/>
      <c r="J18" s="2"/>
      <c r="R18" s="1"/>
      <c r="S18" s="1"/>
      <c r="T18" s="1"/>
    </row>
    <row r="19" spans="1:20" ht="15.75" x14ac:dyDescent="0.25">
      <c r="A19" s="2" t="s">
        <v>35</v>
      </c>
      <c r="B19" s="65">
        <f>'[3]9% DEC'!B19+'[3]17% DEC'!B19+'[3]295% DEC'!B19</f>
        <v>92087</v>
      </c>
      <c r="C19" s="66"/>
      <c r="D19" s="65">
        <f>'[4]SUM DEC 24'!$B$19</f>
        <v>71655</v>
      </c>
      <c r="E19" s="66"/>
      <c r="F19" s="65">
        <f>+B19+'[3]SUM NOV 25'!F19</f>
        <v>2680142</v>
      </c>
      <c r="G19" s="66"/>
      <c r="H19" s="65">
        <f>'[4]SUM DEC 24'!$F$19</f>
        <v>3308414.2653061226</v>
      </c>
      <c r="I19" s="66"/>
      <c r="J19" s="2"/>
      <c r="R19" s="1"/>
      <c r="S19" s="1"/>
      <c r="T19" s="1"/>
    </row>
    <row r="20" spans="1:20" ht="15.75" x14ac:dyDescent="0.25">
      <c r="A20" s="2" t="s">
        <v>76</v>
      </c>
      <c r="B20" s="65">
        <f>'[3]9% DEC'!B20+'[3]17% DEC'!B20+'[3]295% DEC'!B20</f>
        <v>0</v>
      </c>
      <c r="C20" s="66"/>
      <c r="D20" s="65">
        <f>'[4]SUM DEC 24'!$B$20</f>
        <v>0</v>
      </c>
      <c r="E20" s="66"/>
      <c r="F20" s="65">
        <f>+B20+'[3]SUM NOV 25'!F20</f>
        <v>0</v>
      </c>
      <c r="G20" s="66"/>
      <c r="H20" s="65">
        <f>'[4]SUM DEC 24'!$F$20</f>
        <v>0</v>
      </c>
      <c r="I20" s="66"/>
      <c r="J20" s="2"/>
      <c r="R20" s="1"/>
      <c r="S20" s="1"/>
      <c r="T20" s="1"/>
    </row>
    <row r="21" spans="1:20" ht="15.75" x14ac:dyDescent="0.25">
      <c r="A21" s="2" t="s">
        <v>36</v>
      </c>
      <c r="B21" s="65">
        <f>'[3]9% DEC'!B21+'[3]17% DEC'!B21+'[3]295% DEC'!B21</f>
        <v>0</v>
      </c>
      <c r="C21" s="66"/>
      <c r="D21" s="65">
        <f>'[4]SUM DEC 24'!$B$21</f>
        <v>0</v>
      </c>
      <c r="E21" s="66"/>
      <c r="F21" s="65">
        <f>+B21+'[3]SUM NOV 25'!F21</f>
        <v>2700</v>
      </c>
      <c r="G21" s="66"/>
      <c r="H21" s="65">
        <f>'[4]SUM DEC 24'!$F$21</f>
        <v>2437.5714285714284</v>
      </c>
      <c r="I21" s="66"/>
      <c r="J21" s="2"/>
      <c r="R21" s="1"/>
      <c r="S21" s="1"/>
      <c r="T21" s="1"/>
    </row>
    <row r="22" spans="1:20" ht="15.75" x14ac:dyDescent="0.25">
      <c r="A22" s="2" t="s">
        <v>37</v>
      </c>
      <c r="B22" s="65">
        <f>'[3]9% DEC'!B22+'[3]17% DEC'!B22+'[3]295% DEC'!B22</f>
        <v>348885</v>
      </c>
      <c r="C22" s="66"/>
      <c r="D22" s="65">
        <f>'[4]SUM DEC 24'!$B$22</f>
        <v>13319</v>
      </c>
      <c r="E22" s="66"/>
      <c r="F22" s="65">
        <f>+B22+'[3]SUM NOV 25'!F22</f>
        <v>1731778</v>
      </c>
      <c r="G22" s="66"/>
      <c r="H22" s="65">
        <f>'[4]SUM DEC 24'!$F$22</f>
        <v>1966192.530612245</v>
      </c>
      <c r="I22" s="66"/>
      <c r="J22" s="2"/>
      <c r="R22" s="1"/>
      <c r="S22" s="1"/>
      <c r="T22" s="1"/>
    </row>
    <row r="23" spans="1:20" ht="15.75" x14ac:dyDescent="0.25">
      <c r="A23" s="2" t="s">
        <v>38</v>
      </c>
      <c r="B23" s="65">
        <f>'[3]9% DEC'!B23+'[3]17% DEC'!B23+'[3]295% DEC'!B23</f>
        <v>1215060</v>
      </c>
      <c r="C23" s="66"/>
      <c r="D23" s="65">
        <f>'[4]SUM DEC 24'!$B$23</f>
        <v>62215</v>
      </c>
      <c r="E23" s="66"/>
      <c r="F23" s="65">
        <f>+B23+'[3]SUM NOV 25'!F23</f>
        <v>8120376</v>
      </c>
      <c r="G23" s="66"/>
      <c r="H23" s="65">
        <f>'[4]SUM DEC 24'!$F$23</f>
        <v>5656942.3877551015</v>
      </c>
      <c r="I23" s="66"/>
      <c r="R23" s="12"/>
      <c r="S23" s="12"/>
      <c r="T23" s="1"/>
    </row>
    <row r="24" spans="1:20" ht="15.75" x14ac:dyDescent="0.25">
      <c r="A24" s="2" t="s">
        <v>39</v>
      </c>
      <c r="B24" s="65">
        <f>'[3]9% DEC'!B24+'[3]17% DEC'!B24+'[3]295% DEC'!B24</f>
        <v>3286821</v>
      </c>
      <c r="C24" s="66"/>
      <c r="D24" s="65">
        <f>'[4]SUM DEC 24'!$B$24</f>
        <v>844625</v>
      </c>
      <c r="E24" s="66"/>
      <c r="F24" s="65">
        <f>+B24+'[3]SUM NOV 25'!F24</f>
        <v>24049862</v>
      </c>
      <c r="G24" s="66"/>
      <c r="H24" s="65">
        <f>'[4]SUM DEC 24'!$F$24</f>
        <v>6719813.2448979598</v>
      </c>
      <c r="I24" s="66"/>
      <c r="J24" s="2"/>
      <c r="R24" s="1"/>
      <c r="S24" s="1"/>
      <c r="T24" s="1"/>
    </row>
    <row r="25" spans="1:20" x14ac:dyDescent="0.25">
      <c r="A25" s="2" t="s">
        <v>40</v>
      </c>
      <c r="B25" s="65">
        <f>'[3]9% DEC'!B25+'[3]17% DEC'!B25+'[3]295% DEC'!B25</f>
        <v>457471</v>
      </c>
      <c r="C25" s="66"/>
      <c r="D25" s="65">
        <f>'[4]SUM DEC 24'!$B$25</f>
        <v>15830</v>
      </c>
      <c r="E25" s="66"/>
      <c r="F25" s="65">
        <f>+B25+'[3]SUM NOV 25'!F25</f>
        <v>4706357</v>
      </c>
      <c r="G25" s="66"/>
      <c r="H25" s="65">
        <f>'[4]SUM DEC 24'!$F$25</f>
        <v>1709324.1224489796</v>
      </c>
      <c r="I25" s="66"/>
      <c r="J25" s="2"/>
    </row>
    <row r="26" spans="1:20" x14ac:dyDescent="0.25">
      <c r="A26" s="2" t="s">
        <v>41</v>
      </c>
      <c r="B26" s="65">
        <f>'[3]295% DEC'!B26</f>
        <v>4097444</v>
      </c>
      <c r="C26" s="66"/>
      <c r="D26" s="65">
        <f>'[4]SUM DEC 24'!$B$26</f>
        <v>36432</v>
      </c>
      <c r="E26" s="66"/>
      <c r="F26" s="65">
        <f>B26+'[3]SUM NOV 25'!F26</f>
        <v>26382216</v>
      </c>
      <c r="G26" s="66"/>
      <c r="H26" s="65">
        <f>'[4]SUM DEC 24'!$F$26</f>
        <v>21665434.199999999</v>
      </c>
      <c r="I26" s="66"/>
      <c r="J26" s="2"/>
    </row>
    <row r="27" spans="1:20" x14ac:dyDescent="0.25">
      <c r="A27" s="2"/>
      <c r="B27" s="65"/>
      <c r="C27" s="66"/>
      <c r="D27" s="65"/>
      <c r="E27" s="66"/>
      <c r="F27" s="65"/>
      <c r="G27" s="66"/>
      <c r="H27" s="65"/>
      <c r="I27" s="66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65"/>
      <c r="C28" s="66">
        <f>B19+B20+B21+B22+B23+B24+B25+B26</f>
        <v>9497768</v>
      </c>
      <c r="D28" s="65"/>
      <c r="E28" s="66">
        <f>D19+D20+D21+D22+D23+D24+D25+D26</f>
        <v>1044076</v>
      </c>
      <c r="F28" s="65"/>
      <c r="G28" s="66">
        <f>F19+F20+F21+F22+F23+F24+F25+F26</f>
        <v>67673431</v>
      </c>
      <c r="H28" s="65"/>
      <c r="I28" s="66">
        <f>H19+H20+H21+H22+H23+H24+H25+H26</f>
        <v>41028558.322448984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65"/>
      <c r="C29" s="66" t="s">
        <v>22</v>
      </c>
      <c r="D29" s="65"/>
      <c r="E29" s="66" t="s">
        <v>22</v>
      </c>
      <c r="F29" s="65"/>
      <c r="G29" s="66" t="s">
        <v>22</v>
      </c>
      <c r="H29" s="65"/>
      <c r="I29" s="66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64" t="s">
        <v>43</v>
      </c>
      <c r="B30" s="67"/>
      <c r="C30" s="68">
        <f>C17-C28</f>
        <v>257230714</v>
      </c>
      <c r="D30" s="67"/>
      <c r="E30" s="68">
        <f>E17-E28</f>
        <v>257705132</v>
      </c>
      <c r="F30" s="67"/>
      <c r="G30" s="68">
        <f>G17-G28</f>
        <v>3255594872</v>
      </c>
      <c r="H30" s="67"/>
      <c r="I30" s="68">
        <f>I17-I28</f>
        <v>3098093283.3615575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9" t="s">
        <v>22</v>
      </c>
      <c r="B31" s="70" t="s">
        <v>22</v>
      </c>
      <c r="C31" s="71"/>
      <c r="D31" s="70" t="s">
        <v>22</v>
      </c>
      <c r="E31" s="71"/>
      <c r="F31" s="70"/>
      <c r="G31" s="71"/>
      <c r="H31" s="70"/>
      <c r="I31" s="71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65"/>
      <c r="C32" s="66">
        <f>'[3]9% DEC'!C32+'[3]17% DEC'!C32+'[3]295% DEC'!C32</f>
        <v>118032000</v>
      </c>
      <c r="D32" s="65"/>
      <c r="E32" s="66">
        <f>'[4]SUM DEC 24'!$C$32</f>
        <v>111400253</v>
      </c>
      <c r="F32" s="65"/>
      <c r="G32" s="66">
        <f>+C32+'[3]SUM NOV 25'!G32</f>
        <v>1340809511</v>
      </c>
      <c r="H32" s="65"/>
      <c r="I32" s="66">
        <f>'[4]SUM DEC 24'!$G$32</f>
        <v>1521878842.823992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65">
        <f>'[3]9% DEC'!B33+'[3]17% DEC'!B33+'[3]295% DEC'!B33</f>
        <v>7949628</v>
      </c>
      <c r="C33" s="66"/>
      <c r="D33" s="65">
        <f>'[4]SUM DEC 24'!$B$33</f>
        <v>4606643</v>
      </c>
      <c r="E33" s="66"/>
      <c r="F33" s="65">
        <f>+B33+'[3]SUM NOV 25'!F33</f>
        <v>79839844</v>
      </c>
      <c r="G33" s="66"/>
      <c r="H33" s="65">
        <f>'[4]SUM DEC 24'!$F$33</f>
        <v>71461917</v>
      </c>
      <c r="I33" s="66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65">
        <f>'[3]9% DEC'!B34+'[3]17% DEC'!B34+'[3]295% DEC'!B34</f>
        <v>26115</v>
      </c>
      <c r="C34" s="66"/>
      <c r="D34" s="65">
        <f>'[4]SUM DEC 24'!$B$34</f>
        <v>26969</v>
      </c>
      <c r="E34" s="66"/>
      <c r="F34" s="65">
        <f>+B34+'[3]SUM NOV 25'!F34</f>
        <v>320044</v>
      </c>
      <c r="G34" s="66"/>
      <c r="H34" s="65">
        <f>'[4]SUM DEC 24'!$F$34</f>
        <v>442388</v>
      </c>
      <c r="I34" s="66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65">
        <f>'[3]9% DEC'!B35+'[3]17% DEC'!B35+'[3]295% DEC'!B35</f>
        <v>0</v>
      </c>
      <c r="C35" s="66"/>
      <c r="D35" s="65">
        <f>'[4]SUM DEC 24'!$B$35</f>
        <v>0</v>
      </c>
      <c r="E35" s="66"/>
      <c r="F35" s="65">
        <f>+B35+'[3]SUM NOV 25'!F35</f>
        <v>0</v>
      </c>
      <c r="G35" s="66"/>
      <c r="H35" s="65">
        <f>'[4]SUM DEC 24'!$F$35</f>
        <v>0</v>
      </c>
      <c r="I35" s="66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65">
        <f>'[3]9% DEC'!B36+'[3]17% DEC'!B36+'[3]295% DEC'!B36</f>
        <v>27081540</v>
      </c>
      <c r="C36" s="66"/>
      <c r="D36" s="65">
        <f>'[4]SUM DEC 24'!$B$36</f>
        <v>17661821</v>
      </c>
      <c r="E36" s="66"/>
      <c r="F36" s="65">
        <f>+B36+'[3]SUM NOV 25'!F36</f>
        <v>262597432</v>
      </c>
      <c r="G36" s="66"/>
      <c r="H36" s="65">
        <f>'[4]SUM DEC 24'!$F$36</f>
        <v>272100963</v>
      </c>
      <c r="I36" s="66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65"/>
      <c r="C37" s="66">
        <f>B33+B34+B35+B36</f>
        <v>35057283</v>
      </c>
      <c r="D37" s="65"/>
      <c r="E37" s="66">
        <f>D33+D34+D35+D36</f>
        <v>22295433</v>
      </c>
      <c r="F37" s="65"/>
      <c r="G37" s="66">
        <f>F33+F34+F35+F36</f>
        <v>342757320</v>
      </c>
      <c r="H37" s="65"/>
      <c r="I37" s="66">
        <f>H33+H34+H35+H36</f>
        <v>344005268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65">
        <f>'[3]9% DEC'!B38+'[3]17% DEC'!B38+'[3]295% DEC'!B38</f>
        <v>1588890</v>
      </c>
      <c r="C38" s="66"/>
      <c r="D38" s="65">
        <f>'[4]SUM DEC 24'!$B$38</f>
        <v>104659</v>
      </c>
      <c r="E38" s="66"/>
      <c r="F38" s="65">
        <f>+B38+'[3]SUM NOV 25'!F38</f>
        <v>18895186</v>
      </c>
      <c r="G38" s="66"/>
      <c r="H38" s="65">
        <f>'[4]SUM DEC 24'!$F$38</f>
        <v>19916950.412118152</v>
      </c>
      <c r="I38" s="66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65" t="s">
        <v>22</v>
      </c>
      <c r="C39" s="66"/>
      <c r="D39" s="65" t="s">
        <v>22</v>
      </c>
      <c r="E39" s="66"/>
      <c r="F39" s="65" t="s">
        <v>22</v>
      </c>
      <c r="G39" s="66"/>
      <c r="H39" s="65" t="s">
        <v>22</v>
      </c>
      <c r="I39" s="66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64" t="s">
        <v>48</v>
      </c>
      <c r="B40" s="67"/>
      <c r="C40" s="68">
        <f>SUM((C32)-(C37+B38))</f>
        <v>81385827</v>
      </c>
      <c r="D40" s="67"/>
      <c r="E40" s="68">
        <f>SUM((E32)-(E37+D38))</f>
        <v>89000161</v>
      </c>
      <c r="F40" s="67"/>
      <c r="G40" s="68">
        <f>SUM((G32)-(G37+F38))</f>
        <v>979157005</v>
      </c>
      <c r="H40" s="67"/>
      <c r="I40" s="68">
        <f>SUM((I32)-(I37+H38))</f>
        <v>1157956624.4118738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65">
        <f>'[3]9% DEC'!B41+'[3]17% DEC'!B41+'[3]295% DEC'!B41</f>
        <v>6904840</v>
      </c>
      <c r="C41" s="66"/>
      <c r="D41" s="65">
        <f>'[4]SUM DEC 24'!$B$41</f>
        <v>3756756</v>
      </c>
      <c r="E41" s="66"/>
      <c r="F41" s="65">
        <f>+B41+'[3]SUM NOV 25'!F41</f>
        <v>36686999</v>
      </c>
      <c r="G41" s="66"/>
      <c r="H41" s="65">
        <f>'[4]SUM DEC 24'!$F$41</f>
        <v>32001436.06122449</v>
      </c>
      <c r="I41" s="66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80</v>
      </c>
      <c r="B42" s="65">
        <f>'[3]295% DEC'!B42</f>
        <v>336548</v>
      </c>
      <c r="C42" s="66"/>
      <c r="D42" s="65">
        <f>'[4]SUM DEC 24'!$B$42</f>
        <v>21435</v>
      </c>
      <c r="E42" s="66"/>
      <c r="F42" s="65">
        <f>B42+'[3]SUM NOV 25'!F42</f>
        <v>2124618</v>
      </c>
      <c r="G42" s="66"/>
      <c r="H42" s="65">
        <f>'[4]SUM DEC 24'!$F$42</f>
        <v>3295903</v>
      </c>
      <c r="I42" s="66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65">
        <f>'[3]9% DEC'!B43+'[3]17% DEC'!B43+'[3]295% DEC'!B43</f>
        <v>2577</v>
      </c>
      <c r="C43" s="66"/>
      <c r="D43" s="65">
        <f>'[4]SUM DEC 24'!$B$43</f>
        <v>1929</v>
      </c>
      <c r="E43" s="66"/>
      <c r="F43" s="65">
        <f>+B43+'[3]SUM NOV 25'!F43</f>
        <v>22788</v>
      </c>
      <c r="G43" s="66"/>
      <c r="H43" s="65">
        <f>'[4]SUM DEC 24'!$F$43</f>
        <v>21232.265306122448</v>
      </c>
      <c r="I43" s="66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65" t="s">
        <v>22</v>
      </c>
      <c r="C44" s="66"/>
      <c r="D44" s="65" t="s">
        <v>22</v>
      </c>
      <c r="E44" s="66"/>
      <c r="F44" s="65" t="s">
        <v>22</v>
      </c>
      <c r="G44" s="66"/>
      <c r="H44" s="65"/>
      <c r="I44" s="66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65">
        <f>B41+B42+B43</f>
        <v>7243965</v>
      </c>
      <c r="C45" s="66"/>
      <c r="D45" s="65">
        <f>D41+D42+D43</f>
        <v>3780120</v>
      </c>
      <c r="E45" s="66"/>
      <c r="F45" s="65">
        <f>F41+F42+F43</f>
        <v>38834405</v>
      </c>
      <c r="G45" s="66"/>
      <c r="H45" s="65">
        <f>H41+H42+H43</f>
        <v>35318571.326530613</v>
      </c>
      <c r="I45" s="66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64" t="s">
        <v>51</v>
      </c>
      <c r="B46" s="67"/>
      <c r="C46" s="68">
        <f>C40-B45</f>
        <v>74141862</v>
      </c>
      <c r="D46" s="67"/>
      <c r="E46" s="68">
        <f>E40-D45</f>
        <v>85220041</v>
      </c>
      <c r="F46" s="67"/>
      <c r="G46" s="68">
        <f>G40-F45</f>
        <v>940322600</v>
      </c>
      <c r="H46" s="67"/>
      <c r="I46" s="68">
        <f>I40-H45</f>
        <v>1122638053.0853431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72"/>
      <c r="B47" s="70"/>
      <c r="C47" s="71"/>
      <c r="D47" s="70"/>
      <c r="E47" s="71"/>
      <c r="F47" s="70"/>
      <c r="G47" s="71"/>
      <c r="H47" s="70"/>
      <c r="I47" s="71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64" t="s">
        <v>52</v>
      </c>
      <c r="B48" s="67"/>
      <c r="C48" s="68">
        <f>C30+C46</f>
        <v>331372576</v>
      </c>
      <c r="D48" s="67"/>
      <c r="E48" s="68">
        <f>E30+E46</f>
        <v>342925173</v>
      </c>
      <c r="F48" s="67"/>
      <c r="G48" s="68">
        <f>G30+G46</f>
        <v>4195917472</v>
      </c>
      <c r="H48" s="67"/>
      <c r="I48" s="68">
        <f>I30+I46</f>
        <v>4220731336.4469004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72"/>
      <c r="B49" s="70"/>
      <c r="C49" s="71"/>
      <c r="D49" s="70"/>
      <c r="E49" s="71"/>
      <c r="F49" s="70"/>
      <c r="G49" s="71"/>
      <c r="H49" s="70"/>
      <c r="I49" s="71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65"/>
      <c r="C50" s="66">
        <f>'[3]9% DEC'!C50+'[3]17% DEC'!C50+'[3]295% DEC'!C50</f>
        <v>55210</v>
      </c>
      <c r="D50" s="65"/>
      <c r="E50" s="66">
        <f>'[4]SUM DEC 24'!$C$50</f>
        <v>156177</v>
      </c>
      <c r="F50" s="65"/>
      <c r="G50" s="66">
        <f>+C50+'[3]SUM NOV 25'!G50</f>
        <v>1138239</v>
      </c>
      <c r="H50" s="65"/>
      <c r="I50" s="66">
        <f>'[4]SUM DEC 24'!$G$50</f>
        <v>1712834.693877551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65"/>
      <c r="C51" s="66">
        <f>'[3]9% DEC'!C51+'[3]17% DEC'!C51+'[3]295% DEC'!C51</f>
        <v>-1256419</v>
      </c>
      <c r="D51" s="65"/>
      <c r="E51" s="66">
        <f>'[4]SUM DEC 24'!$C$51</f>
        <v>-1416687</v>
      </c>
      <c r="F51" s="65"/>
      <c r="G51" s="66">
        <f>+C51+'[3]SUM NOV 25'!G51</f>
        <v>-79419635</v>
      </c>
      <c r="H51" s="65"/>
      <c r="I51" s="66">
        <f>'[4]SUM DEC 24'!$G$51</f>
        <v>-84382901.387755096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73" t="s">
        <v>55</v>
      </c>
      <c r="B52" s="67"/>
      <c r="C52" s="68">
        <f>C50+C51</f>
        <v>-1201209</v>
      </c>
      <c r="D52" s="67"/>
      <c r="E52" s="68">
        <f>E50+E51</f>
        <v>-1260510</v>
      </c>
      <c r="F52" s="67"/>
      <c r="G52" s="68">
        <f>G50+G51</f>
        <v>-78281396</v>
      </c>
      <c r="H52" s="67"/>
      <c r="I52" s="68">
        <f>I50+I51</f>
        <v>-82670066.693877548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72"/>
      <c r="B53" s="70"/>
      <c r="C53" s="71"/>
      <c r="D53" s="70"/>
      <c r="E53" s="71"/>
      <c r="F53" s="70"/>
      <c r="G53" s="71"/>
      <c r="H53" s="70"/>
      <c r="I53" s="71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64" t="s">
        <v>56</v>
      </c>
      <c r="B54" s="67"/>
      <c r="C54" s="68">
        <f>C48+C52</f>
        <v>330171367</v>
      </c>
      <c r="D54" s="67"/>
      <c r="E54" s="68">
        <f>E48+E52</f>
        <v>341664663</v>
      </c>
      <c r="F54" s="67"/>
      <c r="G54" s="68">
        <f>G48+G52</f>
        <v>4117636076</v>
      </c>
      <c r="H54" s="67"/>
      <c r="I54" s="68">
        <f>I48+I52</f>
        <v>4138061269.7530227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72"/>
      <c r="B55" s="70"/>
      <c r="C55" s="71"/>
      <c r="D55" s="70"/>
      <c r="E55" s="71"/>
      <c r="F55" s="70"/>
      <c r="G55" s="71"/>
      <c r="H55" s="70"/>
      <c r="I55" s="71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65"/>
      <c r="C56" s="66">
        <f>'[3]9% DEC'!C56+'[3]17% DEC'!C56+'[3]295% DEC'!C56</f>
        <v>112989</v>
      </c>
      <c r="D56" s="65"/>
      <c r="E56" s="66">
        <f>'[4]SUM DEC 24'!$C$56</f>
        <v>179889</v>
      </c>
      <c r="F56" s="65"/>
      <c r="G56" s="66">
        <f>+C56+'[3]SUM NOV 25'!G56</f>
        <v>3089969</v>
      </c>
      <c r="H56" s="65"/>
      <c r="I56" s="66">
        <f>'[4]SUM DEC 24'!$G$56</f>
        <v>2574480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65"/>
      <c r="C57" s="66">
        <f>'[3]9% DEC'!C57+'[3]17% DEC'!C57+'[3]295% DEC'!C57</f>
        <v>-562</v>
      </c>
      <c r="D57" s="65"/>
      <c r="E57" s="66">
        <f>'[4]SUM DEC 24'!$C$57</f>
        <v>0</v>
      </c>
      <c r="F57" s="65"/>
      <c r="G57" s="66">
        <f>+C57+'[3]SUM NOV 25'!G57</f>
        <v>-26794</v>
      </c>
      <c r="H57" s="65"/>
      <c r="I57" s="66">
        <f>'[4]SUM DEC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74" t="s">
        <v>81</v>
      </c>
      <c r="B58" s="75"/>
      <c r="C58" s="76">
        <f>C56+C57</f>
        <v>112427</v>
      </c>
      <c r="D58" s="75"/>
      <c r="E58" s="76">
        <f>E56+E57</f>
        <v>179889</v>
      </c>
      <c r="F58" s="75"/>
      <c r="G58" s="76">
        <f>G56+G57</f>
        <v>3063175</v>
      </c>
      <c r="H58" s="75"/>
      <c r="I58" s="76">
        <f>I56+I57</f>
        <v>2540729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17" t="s">
        <v>86</v>
      </c>
      <c r="B60" s="17"/>
      <c r="C60" s="17"/>
      <c r="D60" s="17"/>
      <c r="E60" s="17"/>
      <c r="F60" s="17"/>
      <c r="G60" s="17"/>
      <c r="H60" s="17"/>
      <c r="I60" s="17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/>
  </sheetViews>
  <sheetFormatPr defaultRowHeight="15" x14ac:dyDescent="0.25"/>
  <cols>
    <col min="2" max="8" width="18.7109375" customWidth="1"/>
  </cols>
  <sheetData>
    <row r="1" spans="1:8" x14ac:dyDescent="0.25">
      <c r="B1" s="17" t="s">
        <v>0</v>
      </c>
      <c r="C1" s="17"/>
      <c r="D1" s="17"/>
      <c r="E1" s="17"/>
      <c r="F1" s="17"/>
      <c r="G1" s="17"/>
      <c r="H1" s="17"/>
    </row>
    <row r="2" spans="1:8" x14ac:dyDescent="0.25">
      <c r="B2" s="17" t="s">
        <v>1</v>
      </c>
      <c r="C2" s="18"/>
      <c r="D2" s="17"/>
      <c r="E2" s="17"/>
      <c r="F2" s="17"/>
      <c r="G2" s="17"/>
      <c r="H2" s="17"/>
    </row>
    <row r="3" spans="1:8" x14ac:dyDescent="0.25">
      <c r="B3" s="17"/>
      <c r="C3" s="18"/>
      <c r="D3" s="17"/>
      <c r="E3" s="17"/>
      <c r="F3" s="17"/>
      <c r="G3" s="17"/>
      <c r="H3" s="17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75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24">
        <v>350475490</v>
      </c>
      <c r="G8" s="23">
        <v>2.2233028885425124E-2</v>
      </c>
      <c r="H8" s="23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21">
        <v>300897463</v>
      </c>
      <c r="G9" s="20">
        <v>-9.3931489948014535E-3</v>
      </c>
      <c r="H9" s="2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24">
        <v>300040382</v>
      </c>
      <c r="G10" s="23">
        <v>-6.6891512228788835E-2</v>
      </c>
      <c r="H10" s="23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22">
        <v>354308502</v>
      </c>
      <c r="G11" s="20">
        <v>2.8270347989331319E-2</v>
      </c>
      <c r="H11" s="2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24">
        <v>328233735</v>
      </c>
      <c r="G12" s="23">
        <v>-4.5588674282652307E-2</v>
      </c>
      <c r="H12" s="23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25">
        <v>369654586</v>
      </c>
      <c r="G13" s="20">
        <v>-1.0228295975550059E-2</v>
      </c>
      <c r="H13" s="20">
        <v>-1.3051975047556003E-2</v>
      </c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24">
        <v>360412762</v>
      </c>
      <c r="G14" s="23">
        <v>-4.6970312668796295E-3</v>
      </c>
      <c r="H14" s="23">
        <v>-1.1787276115851964E-2</v>
      </c>
    </row>
    <row r="15" spans="1:8" ht="15.75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25">
        <v>355646503</v>
      </c>
      <c r="G15" s="20">
        <v>2.6674053827273114E-2</v>
      </c>
      <c r="H15" s="20">
        <v>-6.9223376857969589E-3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24">
        <v>375540234</v>
      </c>
      <c r="G16" s="23">
        <v>3.1063900978720749E-2</v>
      </c>
      <c r="H16" s="23">
        <v>-2.4633531000546162E-3</v>
      </c>
    </row>
    <row r="17" spans="1:8" x14ac:dyDescent="0.25">
      <c r="A17" s="2"/>
      <c r="B17" s="2" t="s">
        <v>16</v>
      </c>
      <c r="C17" s="10">
        <v>355076308</v>
      </c>
      <c r="D17" s="10">
        <v>348272899</v>
      </c>
      <c r="E17" s="10">
        <v>337706951</v>
      </c>
      <c r="F17" s="21">
        <v>343892832</v>
      </c>
      <c r="G17" s="20">
        <v>1.8317304342367533E-2</v>
      </c>
      <c r="H17" s="20">
        <v>-2.9312643559848235E-3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24">
        <v>348362220</v>
      </c>
      <c r="G18" s="23">
        <v>-2.1005024508778995E-2</v>
      </c>
      <c r="H18" s="23">
        <v>-2.3527304120795969E-3</v>
      </c>
    </row>
    <row r="19" spans="1:8" x14ac:dyDescent="0.25">
      <c r="A19" s="2"/>
      <c r="B19" s="2" t="s">
        <v>18</v>
      </c>
      <c r="C19" s="10">
        <v>358449848</v>
      </c>
      <c r="D19" s="10">
        <v>348057892</v>
      </c>
      <c r="E19" s="10">
        <v>341664663</v>
      </c>
      <c r="F19" s="21">
        <v>330171367</v>
      </c>
      <c r="G19" s="20">
        <v>-3.3639112394833762E-2</v>
      </c>
      <c r="H19" s="20">
        <v>-4.9359331391056671E-3</v>
      </c>
    </row>
    <row r="20" spans="1:8" ht="18" x14ac:dyDescent="0.25">
      <c r="A20" s="2"/>
      <c r="B20" s="2"/>
      <c r="C20" s="11"/>
      <c r="D20" s="11"/>
      <c r="E20" s="11"/>
      <c r="F20" s="2"/>
      <c r="G20" s="2"/>
      <c r="H20" s="2"/>
    </row>
    <row r="21" spans="1:8" ht="18" x14ac:dyDescent="0.25">
      <c r="A21" s="2"/>
      <c r="C21" s="11"/>
      <c r="D21" s="11"/>
      <c r="E21" s="11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4117636076</v>
      </c>
      <c r="G22" s="8"/>
      <c r="H22" s="8"/>
    </row>
    <row r="23" spans="1:8" x14ac:dyDescent="0.25">
      <c r="A23" s="2"/>
      <c r="B23" s="19"/>
      <c r="C23" s="16"/>
      <c r="D23" s="16"/>
      <c r="E23" s="16"/>
      <c r="F23" s="16"/>
      <c r="G23" s="16"/>
      <c r="H23" s="16"/>
    </row>
    <row r="24" spans="1:8" x14ac:dyDescent="0.25">
      <c r="B24" s="82" t="s">
        <v>86</v>
      </c>
      <c r="C24" s="82"/>
      <c r="D24" s="82"/>
      <c r="E24" s="82"/>
      <c r="F24" s="82"/>
      <c r="G24" s="82"/>
      <c r="H24" s="8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2025 Collections Summary</vt:lpstr>
      <vt:lpstr>Dec 2025 Gallons Summary</vt:lpstr>
      <vt:lpstr>Dec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2025-12-31T19:07:10Z</cp:lastPrinted>
  <dcterms:created xsi:type="dcterms:W3CDTF">2024-02-26T22:44:01Z</dcterms:created>
  <dcterms:modified xsi:type="dcterms:W3CDTF">2026-01-23T15:14:23Z</dcterms:modified>
</cp:coreProperties>
</file>